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firstSheet="1" activeTab="6"/>
  </bookViews>
  <sheets>
    <sheet name="RESCISÃO" sheetId="1" r:id="rId1"/>
    <sheet name="SALÁRIOS" sheetId="2" r:id="rId2"/>
    <sheet name="Resumo do Apurado" sheetId="3" r:id="rId3"/>
    <sheet name="Parcelas Não Tribt. Corrigidas" sheetId="4" r:id="rId4"/>
    <sheet name="Parcelas Tribut. Corrigidas" sheetId="5" r:id="rId5"/>
    <sheet name="INSS" sheetId="6" r:id="rId6"/>
    <sheet name="Salário Mínimo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<sst xmlns="http://schemas.openxmlformats.org/spreadsheetml/2006/main" count="616" uniqueCount="116">
  <si>
    <t xml:space="preserve">  </t>
  </si>
  <si>
    <t>Perído</t>
  </si>
  <si>
    <t>contratual</t>
  </si>
  <si>
    <t>Padrão</t>
  </si>
  <si>
    <t>monet.</t>
  </si>
  <si>
    <t>Salário</t>
  </si>
  <si>
    <t>Devido</t>
  </si>
  <si>
    <t>INSS</t>
  </si>
  <si>
    <t>FGTS</t>
  </si>
  <si>
    <t>Total Mês</t>
  </si>
  <si>
    <t>R$</t>
  </si>
  <si>
    <t>13.Salário</t>
  </si>
  <si>
    <t>Apurado</t>
  </si>
  <si>
    <t xml:space="preserve">TOTAL </t>
  </si>
  <si>
    <t>VALOR</t>
  </si>
  <si>
    <t>PROCESSO N. 0709/95</t>
  </si>
  <si>
    <t>RTE: ROBERTO GOMES DA COSTA</t>
  </si>
  <si>
    <t>RDO: COBECOL INDÚSTRIA E COMÉRCIO LTDA..</t>
  </si>
  <si>
    <t>CR$</t>
  </si>
  <si>
    <t>R.S.R</t>
  </si>
  <si>
    <t xml:space="preserve"> </t>
  </si>
  <si>
    <t>Família</t>
  </si>
  <si>
    <t>Mínimo</t>
  </si>
  <si>
    <t>Quant.</t>
  </si>
  <si>
    <t>Sal. Min.</t>
  </si>
  <si>
    <t>Base</t>
  </si>
  <si>
    <t>Período</t>
  </si>
  <si>
    <t>Moeda</t>
  </si>
  <si>
    <t>Valor</t>
  </si>
  <si>
    <t>Total</t>
  </si>
  <si>
    <t>Mês/Ano</t>
  </si>
  <si>
    <t>da Época</t>
  </si>
  <si>
    <t>Salário Mínimo</t>
  </si>
  <si>
    <t>Corrigido</t>
  </si>
  <si>
    <t>Cr$</t>
  </si>
  <si>
    <t>Cz$</t>
  </si>
  <si>
    <t>NCz$</t>
  </si>
  <si>
    <t>URV p/CR$</t>
  </si>
  <si>
    <t>Hora</t>
  </si>
  <si>
    <t xml:space="preserve">No. </t>
  </si>
  <si>
    <t>a 50%</t>
  </si>
  <si>
    <t>H.Ext</t>
  </si>
  <si>
    <t>s/H.Ext.</t>
  </si>
  <si>
    <t>13o.</t>
  </si>
  <si>
    <t>13o. Sal.</t>
  </si>
  <si>
    <t>Subtotal</t>
  </si>
  <si>
    <t>De Cr$</t>
  </si>
  <si>
    <t>P/CR$</t>
  </si>
  <si>
    <t>De CR$</t>
  </si>
  <si>
    <t>P/R$</t>
  </si>
  <si>
    <t>INSS - RTE</t>
  </si>
  <si>
    <t>Base p/</t>
  </si>
  <si>
    <t>%</t>
  </si>
  <si>
    <t>PROCESSO: 1041-2004-018-01-00-8</t>
  </si>
  <si>
    <t>RTE: FLÁVIA DIAS URURAHY</t>
  </si>
  <si>
    <t>RDA: CBTM - CONFEDERAÇÃO BRASILEIRA DE TENIS DE MESA</t>
  </si>
  <si>
    <t>CÁLCULO DAS VERBAS RESILITÓRIAS</t>
  </si>
  <si>
    <t>MAIOR REMUNERAÇÃO</t>
  </si>
  <si>
    <t>ÚLTIMO SALÁRIO</t>
  </si>
  <si>
    <t>VALOR À INTEGRAR</t>
  </si>
  <si>
    <t xml:space="preserve">VERBAS </t>
  </si>
  <si>
    <t>DEVIDAS</t>
  </si>
  <si>
    <t>DEVIDO</t>
  </si>
  <si>
    <t>PAGO</t>
  </si>
  <si>
    <t>DIFERENÇA</t>
  </si>
  <si>
    <t>1/3 S/ FÉRIAS</t>
  </si>
  <si>
    <t>MULTA 477 DA CLT</t>
  </si>
  <si>
    <t>TOTAL APURADO</t>
  </si>
  <si>
    <t>RESUMO DO APURADO</t>
  </si>
  <si>
    <t>TOTAL DEVIDO QUADRO</t>
  </si>
  <si>
    <t>TOTAL VERBAS RESCISÓRIAS</t>
  </si>
  <si>
    <t>TOTAL APURADO VALOR HISTÓRICO</t>
  </si>
  <si>
    <t>VALOR CORRIGIDO NÃO TRIBUTÁVEL</t>
  </si>
  <si>
    <t>VALOR CORRIGIDO TRIBUTÁVEL</t>
  </si>
  <si>
    <t>VALOR DO IMPOSTO DE RENDA</t>
  </si>
  <si>
    <t>QUNATIDADE DE TR - PRO RATA</t>
  </si>
  <si>
    <t>Indice de</t>
  </si>
  <si>
    <t xml:space="preserve">Juros </t>
  </si>
  <si>
    <t>Correção</t>
  </si>
  <si>
    <t>de 15,33%</t>
  </si>
  <si>
    <t>C.M. + Juros</t>
  </si>
  <si>
    <t>Ver Resc.</t>
  </si>
  <si>
    <t>TOTAL</t>
  </si>
  <si>
    <t>Valor Devido</t>
  </si>
  <si>
    <t>Base Para IR</t>
  </si>
  <si>
    <t>Valor Do IR</t>
  </si>
  <si>
    <t>Valor em TR</t>
  </si>
  <si>
    <t>IR em TR</t>
  </si>
  <si>
    <t xml:space="preserve">               RESUMO DO APURADO</t>
  </si>
  <si>
    <t>VALOR DEVÍDO LIQUIDO A RECLAMANTE</t>
  </si>
  <si>
    <t>EM TR - Pro Rata</t>
  </si>
  <si>
    <t>VALOR DO I.R.</t>
  </si>
  <si>
    <t>VALOR DO INSS RECLAMANTE E RECLAMADA</t>
  </si>
  <si>
    <t xml:space="preserve">TOTAL APURADO </t>
  </si>
  <si>
    <t xml:space="preserve">V.T. </t>
  </si>
  <si>
    <t>Assistencia</t>
  </si>
  <si>
    <t>Aliment.</t>
  </si>
  <si>
    <t xml:space="preserve">% </t>
  </si>
  <si>
    <t>s/ Salário</t>
  </si>
  <si>
    <t>Médica/Odontológica</t>
  </si>
  <si>
    <t>Apurada</t>
  </si>
  <si>
    <t>Aplicado</t>
  </si>
  <si>
    <t>Empregado</t>
  </si>
  <si>
    <t>Empregador</t>
  </si>
  <si>
    <t>Ver.Res.</t>
  </si>
  <si>
    <t>MÉDIA H. EXT.A 50% (160/220x1,50x média h.extra 128,40)</t>
  </si>
  <si>
    <t>RSR s/ H. EXT. 98,05/6</t>
  </si>
  <si>
    <t>13o.SAL. 04/12 AVOS</t>
  </si>
  <si>
    <t>FÉRIAS VENCIDAS 94/95</t>
  </si>
  <si>
    <t>FÉRIAS VENCIDAS 92/93 EM DOBRO</t>
  </si>
  <si>
    <t>FGTS DA RESC. 13o X 0,08</t>
  </si>
  <si>
    <t>TOTAL APURADO VALOR CORRIGIDO ATÉ 31/112005</t>
  </si>
  <si>
    <t>VALOR LÍQUIDO DEVIDO AO RECLAMANTE EM 31/11/2005</t>
  </si>
  <si>
    <t>VALOR DA TR EM 31/11/2005</t>
  </si>
  <si>
    <t>Valor Devido Não Tributáveis - 31/11/2005</t>
  </si>
  <si>
    <t>Valor Líquido Devido - 31/11/2005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</si>
</sst>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0.00;[Red]0.00"/>
    <numFmt numFmtId="172" formatCode="#,##0.00;[Red]#,##0.00"/>
    <numFmt numFmtId="173" formatCode="#,##0.0000"/>
    <numFmt numFmtId="174" formatCode="#\ ?/16"/>
    <numFmt numFmtId="175" formatCode="#\ ?/10"/>
    <numFmt numFmtId="176" formatCode="_(* #,##0.00000000_);_(* \(#,##0.00000000\);_(* &quot;-&quot;??_);_(@_)"/>
    <numFmt numFmtId="177" formatCode="_(* #,##0.0000_);_(* \(#,##0.0000\);_(* &quot;-&quot;??_);_(@_)"/>
    <numFmt numFmtId="178" formatCode="[$-416]dddd\,\ d&quot; de &quot;mmmm&quot; de &quot;yyyy"/>
    <numFmt numFmtId="179" formatCode="[$-416]mmm\-yy;@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u val="singleAccounting"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5" xfId="0" applyFont="1" applyBorder="1" applyAlignment="1">
      <alignment/>
    </xf>
    <xf numFmtId="0" fontId="0" fillId="0" borderId="7" xfId="0" applyBorder="1" applyAlignment="1">
      <alignment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8" applyFont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/>
    </xf>
    <xf numFmtId="43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43" fontId="5" fillId="0" borderId="12" xfId="18" applyFont="1" applyBorder="1" applyAlignment="1">
      <alignment/>
    </xf>
    <xf numFmtId="15" fontId="4" fillId="0" borderId="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3" fontId="5" fillId="2" borderId="12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3" fontId="5" fillId="2" borderId="12" xfId="18" applyFont="1" applyFill="1" applyBorder="1" applyAlignment="1">
      <alignment/>
    </xf>
    <xf numFmtId="2" fontId="5" fillId="2" borderId="12" xfId="0" applyNumberFormat="1" applyFont="1" applyFill="1" applyBorder="1" applyAlignment="1">
      <alignment/>
    </xf>
    <xf numFmtId="43" fontId="5" fillId="2" borderId="12" xfId="0" applyNumberFormat="1" applyFont="1" applyFill="1" applyBorder="1" applyAlignment="1">
      <alignment/>
    </xf>
    <xf numFmtId="43" fontId="5" fillId="0" borderId="1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43" fontId="5" fillId="0" borderId="12" xfId="18" applyFont="1" applyBorder="1" applyAlignment="1">
      <alignment horizontal="center"/>
    </xf>
    <xf numFmtId="9" fontId="5" fillId="0" borderId="12" xfId="0" applyNumberFormat="1" applyFont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4" xfId="0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" xfId="0" applyBorder="1" applyAlignment="1">
      <alignment/>
    </xf>
    <xf numFmtId="43" fontId="0" fillId="0" borderId="0" xfId="18" applyBorder="1" applyAlignment="1">
      <alignment/>
    </xf>
    <xf numFmtId="0" fontId="3" fillId="0" borderId="13" xfId="0" applyFont="1" applyBorder="1" applyAlignment="1">
      <alignment/>
    </xf>
    <xf numFmtId="43" fontId="1" fillId="0" borderId="9" xfId="18" applyFont="1" applyBorder="1" applyAlignment="1">
      <alignment/>
    </xf>
    <xf numFmtId="0" fontId="0" fillId="0" borderId="16" xfId="0" applyFill="1" applyBorder="1" applyAlignment="1">
      <alignment/>
    </xf>
    <xf numFmtId="0" fontId="0" fillId="3" borderId="2" xfId="0" applyFill="1" applyBorder="1" applyAlignment="1">
      <alignment/>
    </xf>
    <xf numFmtId="43" fontId="0" fillId="3" borderId="8" xfId="18" applyFill="1" applyBorder="1" applyAlignment="1">
      <alignment/>
    </xf>
    <xf numFmtId="0" fontId="1" fillId="0" borderId="14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16" xfId="0" applyFont="1" applyBorder="1" applyAlignment="1">
      <alignment/>
    </xf>
    <xf numFmtId="43" fontId="0" fillId="0" borderId="11" xfId="18" applyBorder="1" applyAlignment="1">
      <alignment/>
    </xf>
    <xf numFmtId="43" fontId="0" fillId="0" borderId="0" xfId="0" applyNumberFormat="1" applyBorder="1" applyAlignment="1">
      <alignment/>
    </xf>
    <xf numFmtId="0" fontId="3" fillId="0" borderId="9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0" fillId="3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3" fontId="1" fillId="0" borderId="11" xfId="18" applyFont="1" applyBorder="1" applyAlignment="1">
      <alignment/>
    </xf>
    <xf numFmtId="43" fontId="8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3" fillId="0" borderId="4" xfId="0" applyNumberFormat="1" applyFont="1" applyBorder="1" applyAlignment="1">
      <alignment/>
    </xf>
    <xf numFmtId="0" fontId="3" fillId="0" borderId="6" xfId="0" applyFont="1" applyBorder="1" applyAlignment="1">
      <alignment/>
    </xf>
    <xf numFmtId="43" fontId="8" fillId="0" borderId="8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9" xfId="0" applyBorder="1" applyAlignment="1">
      <alignment/>
    </xf>
    <xf numFmtId="0" fontId="9" fillId="4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15" fontId="4" fillId="0" borderId="1" xfId="0" applyNumberFormat="1" applyFont="1" applyBorder="1" applyAlignment="1">
      <alignment/>
    </xf>
    <xf numFmtId="43" fontId="4" fillId="0" borderId="1" xfId="18" applyFont="1" applyBorder="1" applyAlignment="1">
      <alignment/>
    </xf>
    <xf numFmtId="43" fontId="5" fillId="0" borderId="1" xfId="18" applyFont="1" applyBorder="1" applyAlignment="1">
      <alignment/>
    </xf>
    <xf numFmtId="17" fontId="4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43" fontId="10" fillId="4" borderId="1" xfId="18" applyFont="1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0" fontId="1" fillId="0" borderId="1" xfId="0" applyNumberFormat="1" applyFont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3" xfId="0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11" xfId="0" applyNumberFormat="1" applyFont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/>
    </xf>
    <xf numFmtId="0" fontId="7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3" fontId="7" fillId="0" borderId="11" xfId="0" applyNumberFormat="1" applyFont="1" applyBorder="1" applyAlignment="1">
      <alignment/>
    </xf>
    <xf numFmtId="0" fontId="0" fillId="3" borderId="1" xfId="0" applyFill="1" applyBorder="1" applyAlignment="1">
      <alignment/>
    </xf>
    <xf numFmtId="16" fontId="4" fillId="0" borderId="1" xfId="0" applyNumberFormat="1" applyFont="1" applyFill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5" fillId="0" borderId="1" xfId="18" applyNumberFormat="1" applyFont="1" applyBorder="1" applyAlignment="1">
      <alignment/>
    </xf>
    <xf numFmtId="10" fontId="5" fillId="0" borderId="1" xfId="18" applyNumberFormat="1" applyFont="1" applyBorder="1" applyAlignment="1">
      <alignment/>
    </xf>
    <xf numFmtId="43" fontId="12" fillId="3" borderId="1" xfId="18" applyFont="1" applyFill="1" applyBorder="1" applyAlignment="1">
      <alignment/>
    </xf>
    <xf numFmtId="179" fontId="4" fillId="0" borderId="1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6</xdr:row>
      <xdr:rowOff>66675</xdr:rowOff>
    </xdr:from>
    <xdr:to>
      <xdr:col>5</xdr:col>
      <xdr:colOff>628650</xdr:colOff>
      <xdr:row>12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781550" y="1276350"/>
          <a:ext cx="400050" cy="113347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obson\Meus%20documentos\Documentos%20Excel\Data%2013.10.2005%20-%201401-2004%20da%2018%20-%20Pimp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ção Par. Não Tributáveis"/>
      <sheetName val="Correção  Parcelas Tributáveis"/>
      <sheetName val="VALORES DEVIDIDOS MÊS A MÊS"/>
      <sheetName val="RESUMO APURADO"/>
      <sheetName val="Verbas Resilitórias"/>
      <sheetName val="Plan1"/>
      <sheetName val="INSS"/>
    </sheetNames>
    <sheetDataSet>
      <sheetData sheetId="0">
        <row r="23">
          <cell r="F23">
            <v>9896.291903921665</v>
          </cell>
        </row>
      </sheetData>
      <sheetData sheetId="1">
        <row r="23">
          <cell r="F23">
            <v>5739.366541559999</v>
          </cell>
        </row>
        <row r="25">
          <cell r="F25">
            <v>1112.9757989289997</v>
          </cell>
        </row>
        <row r="26">
          <cell r="F26">
            <v>4626.390742631</v>
          </cell>
        </row>
        <row r="28">
          <cell r="F28">
            <v>98117.80730839279</v>
          </cell>
        </row>
      </sheetData>
      <sheetData sheetId="2">
        <row r="7">
          <cell r="H7">
            <v>0</v>
          </cell>
          <cell r="K7">
            <v>80.3712</v>
          </cell>
        </row>
        <row r="8">
          <cell r="H8">
            <v>0</v>
          </cell>
          <cell r="K8">
            <v>104.83200000000001</v>
          </cell>
        </row>
        <row r="9">
          <cell r="H9">
            <v>0</v>
          </cell>
          <cell r="K9">
            <v>104.83200000000001</v>
          </cell>
        </row>
        <row r="10">
          <cell r="H10">
            <v>0</v>
          </cell>
          <cell r="K10">
            <v>104.83200000000001</v>
          </cell>
        </row>
        <row r="11">
          <cell r="H11">
            <v>0</v>
          </cell>
          <cell r="K11">
            <v>104.83200000000001</v>
          </cell>
        </row>
        <row r="12">
          <cell r="H12">
            <v>0</v>
          </cell>
          <cell r="K12">
            <v>104.83200000000001</v>
          </cell>
        </row>
        <row r="13">
          <cell r="H13">
            <v>0</v>
          </cell>
          <cell r="K13">
            <v>104.83200000000001</v>
          </cell>
        </row>
        <row r="14">
          <cell r="H14">
            <v>300</v>
          </cell>
          <cell r="K14">
            <v>104.83200000000001</v>
          </cell>
        </row>
        <row r="15">
          <cell r="H15">
            <v>1002</v>
          </cell>
          <cell r="K15">
            <v>183.45600000000002</v>
          </cell>
        </row>
        <row r="16">
          <cell r="H16">
            <v>300</v>
          </cell>
          <cell r="K16">
            <v>104.83200000000001</v>
          </cell>
        </row>
        <row r="17">
          <cell r="H17">
            <v>300</v>
          </cell>
          <cell r="K17">
            <v>104.83200000000001</v>
          </cell>
        </row>
        <row r="18">
          <cell r="H18">
            <v>300</v>
          </cell>
          <cell r="K18">
            <v>104.83200000000001</v>
          </cell>
        </row>
        <row r="19">
          <cell r="H19">
            <v>300</v>
          </cell>
          <cell r="K19">
            <v>66.39359999999999</v>
          </cell>
        </row>
      </sheetData>
      <sheetData sheetId="4">
        <row r="17">
          <cell r="F17">
            <v>2808</v>
          </cell>
        </row>
        <row r="18">
          <cell r="F18">
            <v>936</v>
          </cell>
        </row>
        <row r="19">
          <cell r="F19">
            <v>624</v>
          </cell>
        </row>
        <row r="20">
          <cell r="F20">
            <v>936</v>
          </cell>
        </row>
        <row r="21">
          <cell r="F21">
            <v>312</v>
          </cell>
        </row>
        <row r="22">
          <cell r="F22">
            <v>416</v>
          </cell>
        </row>
        <row r="23">
          <cell r="F23">
            <v>349.44</v>
          </cell>
        </row>
        <row r="24">
          <cell r="F24">
            <v>139.776</v>
          </cell>
        </row>
        <row r="25">
          <cell r="F25">
            <v>700</v>
          </cell>
        </row>
        <row r="26">
          <cell r="F26">
            <v>1945.84</v>
          </cell>
        </row>
        <row r="39">
          <cell r="F39">
            <v>0.01134203</v>
          </cell>
        </row>
      </sheetData>
      <sheetData sheetId="5">
        <row r="214">
          <cell r="C214" t="str">
            <v>1,0750</v>
          </cell>
        </row>
        <row r="215">
          <cell r="C215" t="str">
            <v>1,0705</v>
          </cell>
        </row>
        <row r="216">
          <cell r="C216" t="str">
            <v>1,0655</v>
          </cell>
        </row>
        <row r="217">
          <cell r="C217" t="str">
            <v>1,0611</v>
          </cell>
        </row>
        <row r="218">
          <cell r="C218" t="str">
            <v>1,0554</v>
          </cell>
        </row>
        <row r="219">
          <cell r="C219" t="str">
            <v>1,0511</v>
          </cell>
        </row>
        <row r="220">
          <cell r="C220" t="str">
            <v>1,0476</v>
          </cell>
        </row>
        <row r="221">
          <cell r="C221" t="str">
            <v>1,0442</v>
          </cell>
        </row>
        <row r="222">
          <cell r="C222" t="str">
            <v>1,0424</v>
          </cell>
        </row>
        <row r="223">
          <cell r="C223" t="str">
            <v>1,0405</v>
          </cell>
        </row>
        <row r="224">
          <cell r="C224" t="str">
            <v>1,0392</v>
          </cell>
        </row>
        <row r="225">
          <cell r="C225" t="str">
            <v>1,0386</v>
          </cell>
        </row>
        <row r="226">
          <cell r="C226" t="str">
            <v>1,0368</v>
          </cell>
        </row>
      </sheetData>
      <sheetData sheetId="6">
        <row r="21">
          <cell r="AA21">
            <v>4094.12867136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8">
      <selection activeCell="A1" sqref="A1"/>
    </sheetView>
  </sheetViews>
  <sheetFormatPr defaultColWidth="9.140625" defaultRowHeight="12.75"/>
  <cols>
    <col min="1" max="1" width="10.7109375" style="0" customWidth="1"/>
    <col min="2" max="2" width="25.421875" style="0" customWidth="1"/>
    <col min="3" max="3" width="11.28125" style="0" customWidth="1"/>
    <col min="4" max="4" width="11.7109375" style="0" bestFit="1" customWidth="1"/>
    <col min="6" max="6" width="15.00390625" style="0" customWidth="1"/>
    <col min="7" max="7" width="9.421875" style="0" bestFit="1" customWidth="1"/>
    <col min="8" max="8" width="12.28125" style="0" customWidth="1"/>
    <col min="10" max="10" width="14.00390625" style="0" customWidth="1"/>
  </cols>
  <sheetData>
    <row r="1" spans="1:6" ht="18">
      <c r="A1" s="59" t="s">
        <v>53</v>
      </c>
      <c r="B1" s="60"/>
      <c r="C1" s="60"/>
      <c r="D1" s="60"/>
      <c r="E1" s="60"/>
      <c r="F1" s="61"/>
    </row>
    <row r="2" spans="1:6" ht="18">
      <c r="A2" s="62" t="s">
        <v>54</v>
      </c>
      <c r="B2" s="63"/>
      <c r="C2" s="63"/>
      <c r="D2" s="63"/>
      <c r="E2" s="63"/>
      <c r="F2" s="64"/>
    </row>
    <row r="3" spans="1:6" ht="18.75" thickBot="1">
      <c r="A3" s="65" t="s">
        <v>55</v>
      </c>
      <c r="B3" s="66"/>
      <c r="C3" s="66"/>
      <c r="D3" s="66"/>
      <c r="E3" s="66"/>
      <c r="F3" s="67"/>
    </row>
    <row r="4" spans="1:6" ht="13.5" thickBot="1">
      <c r="A4" s="68" t="s">
        <v>20</v>
      </c>
      <c r="B4" s="69"/>
      <c r="C4" s="69"/>
      <c r="D4" s="69"/>
      <c r="E4" s="69"/>
      <c r="F4" s="70"/>
    </row>
    <row r="5" spans="1:6" ht="13.5" thickBot="1">
      <c r="A5" s="10" t="s">
        <v>56</v>
      </c>
      <c r="B5" s="4"/>
      <c r="C5" s="4"/>
      <c r="D5" s="4"/>
      <c r="E5" s="4"/>
      <c r="F5" s="18"/>
    </row>
    <row r="6" spans="1:6" ht="13.5" thickBot="1">
      <c r="A6" s="71"/>
      <c r="B6" s="72"/>
      <c r="C6" s="72"/>
      <c r="D6" s="72"/>
      <c r="E6" s="72"/>
      <c r="F6" s="73"/>
    </row>
    <row r="7" spans="1:6" ht="13.5" thickBot="1">
      <c r="A7" s="10" t="s">
        <v>57</v>
      </c>
      <c r="B7" s="4"/>
      <c r="C7" s="4"/>
      <c r="D7" s="4"/>
      <c r="E7" s="4"/>
      <c r="F7" s="74"/>
    </row>
    <row r="8" spans="1:6" ht="15.75" thickBot="1">
      <c r="A8" s="75" t="s">
        <v>20</v>
      </c>
      <c r="B8" s="76"/>
      <c r="C8" s="76"/>
      <c r="D8" s="76"/>
      <c r="E8" s="77" t="s">
        <v>10</v>
      </c>
      <c r="F8" s="78"/>
    </row>
    <row r="9" spans="1:6" ht="12.75">
      <c r="A9" s="79" t="s">
        <v>58</v>
      </c>
      <c r="B9" s="4"/>
      <c r="C9" s="4"/>
      <c r="D9" s="4"/>
      <c r="E9" s="80">
        <f>SALÁRIOS!E51</f>
        <v>160</v>
      </c>
      <c r="F9" s="78"/>
    </row>
    <row r="10" spans="1:6" ht="12.75">
      <c r="A10" s="79" t="s">
        <v>105</v>
      </c>
      <c r="B10" s="4"/>
      <c r="C10" s="4"/>
      <c r="D10" s="4"/>
      <c r="E10" s="80">
        <f>SALÁRIOS!H50</f>
        <v>98.05090909090909</v>
      </c>
      <c r="F10" s="78"/>
    </row>
    <row r="11" spans="1:6" ht="13.5" thickBot="1">
      <c r="A11" s="79" t="s">
        <v>106</v>
      </c>
      <c r="B11" s="4"/>
      <c r="C11" s="4"/>
      <c r="D11" s="4"/>
      <c r="E11" s="80">
        <f>E10/6</f>
        <v>16.34181818181818</v>
      </c>
      <c r="F11" s="78"/>
    </row>
    <row r="12" spans="1:6" ht="15.75" thickBot="1">
      <c r="A12" s="81" t="s">
        <v>59</v>
      </c>
      <c r="B12" s="14"/>
      <c r="C12" s="14"/>
      <c r="D12" s="14"/>
      <c r="E12" s="82">
        <f>SUM(E9:E11)</f>
        <v>274.39272727272726</v>
      </c>
      <c r="F12" s="78"/>
    </row>
    <row r="13" spans="1:6" ht="13.5" thickBot="1">
      <c r="A13" s="68"/>
      <c r="B13" s="69"/>
      <c r="C13" s="69"/>
      <c r="D13" s="69"/>
      <c r="E13" s="69"/>
      <c r="F13" s="83"/>
    </row>
    <row r="14" spans="1:6" ht="13.5" thickBot="1">
      <c r="A14" s="84"/>
      <c r="B14" s="72"/>
      <c r="C14" s="72"/>
      <c r="D14" s="72"/>
      <c r="E14" s="72"/>
      <c r="F14" s="85"/>
    </row>
    <row r="15" spans="1:6" ht="12.75">
      <c r="A15" s="86" t="s">
        <v>60</v>
      </c>
      <c r="B15" s="87"/>
      <c r="C15" s="88"/>
      <c r="D15" s="7" t="s">
        <v>14</v>
      </c>
      <c r="E15" s="8" t="s">
        <v>14</v>
      </c>
      <c r="F15" s="9" t="s">
        <v>14</v>
      </c>
    </row>
    <row r="16" spans="1:6" ht="13.5" thickBot="1">
      <c r="A16" s="89" t="s">
        <v>61</v>
      </c>
      <c r="B16" s="69"/>
      <c r="C16" s="70"/>
      <c r="D16" s="11" t="s">
        <v>62</v>
      </c>
      <c r="E16" s="12" t="s">
        <v>63</v>
      </c>
      <c r="F16" s="13" t="s">
        <v>64</v>
      </c>
    </row>
    <row r="17" spans="1:6" ht="12.75">
      <c r="A17" s="79" t="s">
        <v>107</v>
      </c>
      <c r="B17" s="4"/>
      <c r="C17" s="4"/>
      <c r="D17" s="91">
        <f>E12/12*4</f>
        <v>91.46424242424241</v>
      </c>
      <c r="E17" s="80">
        <v>0</v>
      </c>
      <c r="F17" s="90">
        <f aca="true" t="shared" si="0" ref="F17:F22">D17-E17</f>
        <v>91.46424242424241</v>
      </c>
    </row>
    <row r="18" spans="1:6" ht="12.75">
      <c r="A18" s="79" t="s">
        <v>109</v>
      </c>
      <c r="B18" s="4"/>
      <c r="C18" s="4"/>
      <c r="D18" s="91">
        <f>E12*2</f>
        <v>548.7854545454545</v>
      </c>
      <c r="E18" s="80">
        <v>0</v>
      </c>
      <c r="F18" s="90">
        <f t="shared" si="0"/>
        <v>548.7854545454545</v>
      </c>
    </row>
    <row r="19" spans="1:6" ht="12.75">
      <c r="A19" s="79" t="s">
        <v>108</v>
      </c>
      <c r="B19" s="4"/>
      <c r="C19" s="4"/>
      <c r="D19" s="91">
        <f>E12</f>
        <v>274.39272727272726</v>
      </c>
      <c r="E19" s="80">
        <v>0</v>
      </c>
      <c r="F19" s="90">
        <f t="shared" si="0"/>
        <v>274.39272727272726</v>
      </c>
    </row>
    <row r="20" spans="1:6" ht="12.75">
      <c r="A20" s="79" t="s">
        <v>65</v>
      </c>
      <c r="B20" s="4"/>
      <c r="C20" s="4"/>
      <c r="D20" s="91">
        <f>SUM(D18:D19)/3</f>
        <v>274.39272727272726</v>
      </c>
      <c r="E20" s="80">
        <v>0</v>
      </c>
      <c r="F20" s="90">
        <f t="shared" si="0"/>
        <v>274.39272727272726</v>
      </c>
    </row>
    <row r="21" spans="1:6" ht="12.75">
      <c r="A21" s="79" t="s">
        <v>110</v>
      </c>
      <c r="B21" s="4"/>
      <c r="C21" s="4"/>
      <c r="D21" s="91">
        <f>D17*0.08</f>
        <v>7.317139393939393</v>
      </c>
      <c r="E21" s="80">
        <v>0</v>
      </c>
      <c r="F21" s="90">
        <f>SUM(F17:F17)*0.08</f>
        <v>7.317139393939393</v>
      </c>
    </row>
    <row r="22" spans="1:6" ht="13.5" thickBot="1">
      <c r="A22" s="79" t="s">
        <v>66</v>
      </c>
      <c r="B22" s="4"/>
      <c r="C22" s="4"/>
      <c r="D22" s="91">
        <f>E9</f>
        <v>160</v>
      </c>
      <c r="E22" s="80">
        <v>0</v>
      </c>
      <c r="F22" s="90">
        <f t="shared" si="0"/>
        <v>160</v>
      </c>
    </row>
    <row r="23" spans="1:6" ht="15.75" thickBot="1">
      <c r="A23" s="81" t="s">
        <v>67</v>
      </c>
      <c r="B23" s="92"/>
      <c r="C23" s="92"/>
      <c r="D23" s="92"/>
      <c r="E23" s="92"/>
      <c r="F23" s="93">
        <f>SUM(F17:F22)</f>
        <v>1356.352290909091</v>
      </c>
    </row>
    <row r="24" spans="1:6" ht="15" customHeight="1" thickBot="1">
      <c r="A24" s="71"/>
      <c r="B24" s="72"/>
      <c r="C24" s="72"/>
      <c r="D24" s="72"/>
      <c r="E24" s="72"/>
      <c r="F24" s="94"/>
    </row>
    <row r="25" spans="1:6" ht="15.75" thickBot="1">
      <c r="A25" s="19" t="s">
        <v>68</v>
      </c>
      <c r="B25" s="95"/>
      <c r="C25" s="95"/>
      <c r="D25" s="95"/>
      <c r="E25" s="95"/>
      <c r="F25" s="96"/>
    </row>
    <row r="26" spans="1:6" ht="14.25" customHeight="1" thickBot="1">
      <c r="A26" s="75"/>
      <c r="B26" s="76"/>
      <c r="C26" s="76"/>
      <c r="D26" s="76"/>
      <c r="E26" s="76"/>
      <c r="F26" s="77" t="s">
        <v>10</v>
      </c>
    </row>
    <row r="27" spans="1:6" ht="12.75">
      <c r="A27" s="10" t="s">
        <v>69</v>
      </c>
      <c r="B27" s="6"/>
      <c r="C27" s="6"/>
      <c r="D27" s="6"/>
      <c r="E27" s="6"/>
      <c r="F27" s="97">
        <f>SALÁRIOS!S72</f>
        <v>1923.5928286958992</v>
      </c>
    </row>
    <row r="28" spans="1:6" ht="15.75" thickBot="1">
      <c r="A28" s="10" t="s">
        <v>70</v>
      </c>
      <c r="B28" s="6"/>
      <c r="C28" s="6"/>
      <c r="D28" s="6"/>
      <c r="E28" s="6"/>
      <c r="F28" s="98">
        <f>F23</f>
        <v>1356.352290909091</v>
      </c>
    </row>
    <row r="29" spans="1:6" ht="16.5" thickBot="1">
      <c r="A29" s="99" t="s">
        <v>71</v>
      </c>
      <c r="B29" s="100"/>
      <c r="C29" s="100"/>
      <c r="D29" s="100"/>
      <c r="E29" s="100"/>
      <c r="F29" s="101">
        <f>SUM(F27:F28)</f>
        <v>3279.9451196049904</v>
      </c>
    </row>
    <row r="30" spans="1:6" ht="15">
      <c r="A30" s="102" t="s">
        <v>72</v>
      </c>
      <c r="B30" s="103"/>
      <c r="C30" s="103"/>
      <c r="D30" s="103"/>
      <c r="E30" s="103"/>
      <c r="F30" s="104">
        <f>'[1]Correção Par. Não Tributáveis'!F23</f>
        <v>9896.291903921665</v>
      </c>
    </row>
    <row r="31" spans="1:6" ht="17.25" thickBot="1">
      <c r="A31" s="105" t="s">
        <v>73</v>
      </c>
      <c r="B31" s="20"/>
      <c r="C31" s="20"/>
      <c r="D31" s="20"/>
      <c r="E31" s="20"/>
      <c r="F31" s="106">
        <f>'[1]Correção  Parcelas Tributáveis'!F23</f>
        <v>5739.366541559999</v>
      </c>
    </row>
    <row r="32" spans="1:6" ht="16.5" thickBot="1">
      <c r="A32" s="99" t="s">
        <v>111</v>
      </c>
      <c r="B32" s="100"/>
      <c r="C32" s="100"/>
      <c r="D32" s="100"/>
      <c r="E32" s="100"/>
      <c r="F32" s="101">
        <f>SUM(F30:F31)</f>
        <v>15635.658445481664</v>
      </c>
    </row>
    <row r="33" spans="1:6" ht="17.25" thickBot="1">
      <c r="A33" s="81" t="s">
        <v>74</v>
      </c>
      <c r="B33" s="14"/>
      <c r="C33" s="14"/>
      <c r="D33" s="14"/>
      <c r="E33" s="14"/>
      <c r="F33" s="107">
        <f>'[1]Correção  Parcelas Tributáveis'!F25</f>
        <v>1112.9757989289997</v>
      </c>
    </row>
    <row r="34" spans="1:6" ht="16.5" thickBot="1">
      <c r="A34" s="108" t="s">
        <v>112</v>
      </c>
      <c r="B34" s="109"/>
      <c r="C34" s="109"/>
      <c r="D34" s="109"/>
      <c r="E34" s="109"/>
      <c r="F34" s="110">
        <f>F32-F33</f>
        <v>14522.682646552665</v>
      </c>
    </row>
    <row r="35" spans="1:6" ht="15.75" thickBot="1">
      <c r="A35" s="81" t="s">
        <v>113</v>
      </c>
      <c r="B35" s="111"/>
      <c r="C35" s="111"/>
      <c r="D35" s="111"/>
      <c r="E35" s="111"/>
      <c r="F35" s="15">
        <v>0.01137038</v>
      </c>
    </row>
    <row r="36" spans="1:6" ht="15.75" thickBot="1">
      <c r="A36" s="81" t="s">
        <v>75</v>
      </c>
      <c r="B36" s="111"/>
      <c r="C36" s="111"/>
      <c r="D36" s="111"/>
      <c r="E36" s="111"/>
      <c r="F36" s="93" t="s">
        <v>20</v>
      </c>
    </row>
  </sheetData>
  <printOptions/>
  <pageMargins left="0.75" right="0.75" top="1" bottom="1" header="0.492125985" footer="0.49212598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I1">
      <selection activeCell="R1" sqref="R1"/>
    </sheetView>
  </sheetViews>
  <sheetFormatPr defaultColWidth="9.140625" defaultRowHeight="12.75"/>
  <cols>
    <col min="1" max="1" width="14.140625" style="0" customWidth="1"/>
    <col min="2" max="2" width="10.140625" style="0" bestFit="1" customWidth="1"/>
    <col min="3" max="3" width="11.28125" style="0" customWidth="1"/>
    <col min="4" max="4" width="10.140625" style="0" bestFit="1" customWidth="1"/>
    <col min="5" max="5" width="10.140625" style="0" customWidth="1"/>
    <col min="8" max="8" width="10.8515625" style="0" customWidth="1"/>
    <col min="9" max="9" width="11.140625" style="0" bestFit="1" customWidth="1"/>
    <col min="10" max="10" width="10.00390625" style="0" bestFit="1" customWidth="1"/>
    <col min="11" max="11" width="12.00390625" style="0" bestFit="1" customWidth="1"/>
    <col min="12" max="12" width="8.8515625" style="0" customWidth="1"/>
    <col min="13" max="14" width="10.8515625" style="0" customWidth="1"/>
    <col min="15" max="15" width="11.7109375" style="0" bestFit="1" customWidth="1"/>
    <col min="16" max="16" width="11.7109375" style="0" customWidth="1"/>
    <col min="17" max="17" width="11.28125" style="0" customWidth="1"/>
    <col min="18" max="18" width="9.7109375" style="0" customWidth="1"/>
    <col min="19" max="19" width="12.421875" style="0" customWidth="1"/>
  </cols>
  <sheetData>
    <row r="1" spans="1:22" ht="12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15</v>
      </c>
      <c r="O1" s="1"/>
      <c r="P1" s="1"/>
      <c r="Q1" s="1"/>
      <c r="R1" s="1"/>
      <c r="S1" s="1" t="s">
        <v>20</v>
      </c>
      <c r="T1" s="1"/>
      <c r="U1" s="1"/>
      <c r="V1" s="1"/>
    </row>
    <row r="2" spans="1:22" ht="12.7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 t="s">
        <v>16</v>
      </c>
      <c r="O2" s="29"/>
      <c r="P2" s="29"/>
      <c r="Q2" s="29"/>
      <c r="R2" s="29"/>
      <c r="S2" s="29" t="s">
        <v>0</v>
      </c>
      <c r="T2" s="1"/>
      <c r="U2" s="1"/>
      <c r="V2" s="1"/>
    </row>
    <row r="3" spans="1:22" ht="12.7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 t="s">
        <v>17</v>
      </c>
      <c r="O3" s="29"/>
      <c r="P3" s="29"/>
      <c r="Q3" s="29"/>
      <c r="R3" s="29"/>
      <c r="S3" s="29" t="s">
        <v>20</v>
      </c>
      <c r="T3" s="1"/>
      <c r="U3" s="1"/>
      <c r="V3" s="1"/>
    </row>
    <row r="4" spans="1:2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 t="s">
        <v>0</v>
      </c>
      <c r="T4" s="1"/>
      <c r="U4" s="1"/>
      <c r="V4" s="1"/>
    </row>
    <row r="5" spans="1:19" ht="12.75">
      <c r="A5" s="30" t="s">
        <v>1</v>
      </c>
      <c r="B5" s="30" t="s">
        <v>3</v>
      </c>
      <c r="C5" s="30" t="s">
        <v>5</v>
      </c>
      <c r="D5" s="30" t="s">
        <v>23</v>
      </c>
      <c r="E5" s="30" t="s">
        <v>5</v>
      </c>
      <c r="F5" s="30" t="s">
        <v>5</v>
      </c>
      <c r="G5" s="30" t="s">
        <v>39</v>
      </c>
      <c r="H5" s="31" t="s">
        <v>28</v>
      </c>
      <c r="I5" s="30" t="s">
        <v>19</v>
      </c>
      <c r="J5" s="30" t="s">
        <v>43</v>
      </c>
      <c r="K5" s="30" t="s">
        <v>45</v>
      </c>
      <c r="L5" s="30" t="s">
        <v>50</v>
      </c>
      <c r="M5" s="30" t="s">
        <v>7</v>
      </c>
      <c r="N5" s="30" t="s">
        <v>1</v>
      </c>
      <c r="O5" s="30" t="s">
        <v>45</v>
      </c>
      <c r="P5" s="30" t="s">
        <v>51</v>
      </c>
      <c r="Q5" s="30" t="s">
        <v>8</v>
      </c>
      <c r="R5" s="30" t="s">
        <v>5</v>
      </c>
      <c r="S5" s="30" t="s">
        <v>9</v>
      </c>
    </row>
    <row r="6" spans="1:19" ht="12.75">
      <c r="A6" s="30" t="s">
        <v>2</v>
      </c>
      <c r="B6" s="30" t="s">
        <v>4</v>
      </c>
      <c r="C6" s="30" t="s">
        <v>22</v>
      </c>
      <c r="D6" s="30" t="s">
        <v>24</v>
      </c>
      <c r="E6" s="30" t="s">
        <v>25</v>
      </c>
      <c r="F6" s="30" t="s">
        <v>38</v>
      </c>
      <c r="G6" s="30" t="s">
        <v>41</v>
      </c>
      <c r="H6" s="30" t="s">
        <v>40</v>
      </c>
      <c r="I6" s="30" t="s">
        <v>42</v>
      </c>
      <c r="J6" s="30" t="s">
        <v>5</v>
      </c>
      <c r="K6" s="30" t="s">
        <v>6</v>
      </c>
      <c r="L6" s="30" t="s">
        <v>52</v>
      </c>
      <c r="M6" s="32"/>
      <c r="N6" s="30" t="s">
        <v>2</v>
      </c>
      <c r="O6" s="30" t="s">
        <v>6</v>
      </c>
      <c r="P6" s="30" t="s">
        <v>8</v>
      </c>
      <c r="Q6" s="31">
        <v>0.08</v>
      </c>
      <c r="R6" s="31" t="s">
        <v>21</v>
      </c>
      <c r="S6" s="30" t="s">
        <v>6</v>
      </c>
    </row>
    <row r="7" spans="1:19" ht="12.75">
      <c r="A7" s="35">
        <f>'Salário Mínimo'!A219</f>
        <v>33695</v>
      </c>
      <c r="B7" s="33" t="str">
        <f>'Salário Mínimo'!B219</f>
        <v>Cr$</v>
      </c>
      <c r="C7" s="27">
        <f>'Salário Mínimo'!C219</f>
        <v>96037.33</v>
      </c>
      <c r="D7" s="28">
        <v>1.6</v>
      </c>
      <c r="E7" s="28">
        <f>C7*D7</f>
        <v>153659.728</v>
      </c>
      <c r="F7" s="42">
        <f>E7/220</f>
        <v>698.4533090909091</v>
      </c>
      <c r="G7" s="44">
        <v>128.4</v>
      </c>
      <c r="H7" s="45">
        <f>F7*1.5*G7</f>
        <v>134522.10733090912</v>
      </c>
      <c r="I7" s="45">
        <f>H7/6</f>
        <v>22420.351221818186</v>
      </c>
      <c r="J7" s="34"/>
      <c r="K7" s="45">
        <f>H7+I7+J7</f>
        <v>156942.4585527273</v>
      </c>
      <c r="L7" s="58">
        <v>0.08</v>
      </c>
      <c r="M7" s="57">
        <f>K7*L7</f>
        <v>12555.396684218184</v>
      </c>
      <c r="N7" s="146">
        <v>33695</v>
      </c>
      <c r="O7" s="27">
        <f>K7-M7</f>
        <v>144387.0618685091</v>
      </c>
      <c r="P7" s="27">
        <f>E7+K7</f>
        <v>310602.1865527273</v>
      </c>
      <c r="Q7" s="57">
        <f>P7*0.08</f>
        <v>24848.174924218183</v>
      </c>
      <c r="R7" s="57">
        <f>7386.11*2</f>
        <v>14772.22</v>
      </c>
      <c r="S7" s="57">
        <f>O7+Q7+R7</f>
        <v>184007.4567927273</v>
      </c>
    </row>
    <row r="8" spans="1:19" ht="12.75">
      <c r="A8" s="35">
        <f>'Salário Mínimo'!A220</f>
        <v>33725</v>
      </c>
      <c r="B8" s="33" t="str">
        <f>'Salário Mínimo'!B220</f>
        <v>Cr$</v>
      </c>
      <c r="C8" s="27">
        <f>'Salário Mínimo'!C220</f>
        <v>230000</v>
      </c>
      <c r="D8" s="28">
        <v>1.6</v>
      </c>
      <c r="E8" s="28">
        <f aca="true" t="shared" si="0" ref="E8:E51">C8*D8</f>
        <v>368000</v>
      </c>
      <c r="F8" s="42">
        <f aca="true" t="shared" si="1" ref="F8:F51">E8/220</f>
        <v>1672.7272727272727</v>
      </c>
      <c r="G8" s="44">
        <v>128.4</v>
      </c>
      <c r="H8" s="45">
        <f aca="true" t="shared" si="2" ref="H8:H51">F8*1.5*G8</f>
        <v>322167.2727272727</v>
      </c>
      <c r="I8" s="45">
        <f aca="true" t="shared" si="3" ref="I8:I71">H8/6</f>
        <v>53694.54545454545</v>
      </c>
      <c r="J8" s="37"/>
      <c r="K8" s="45">
        <f aca="true" t="shared" si="4" ref="K8:K51">H8+I8+J8</f>
        <v>375861.8181818182</v>
      </c>
      <c r="L8" s="58">
        <v>0.08</v>
      </c>
      <c r="M8" s="57">
        <f aca="true" t="shared" si="5" ref="M8:M23">K8*L8</f>
        <v>30068.945454545454</v>
      </c>
      <c r="N8" s="146">
        <f aca="true" t="shared" si="6" ref="N8:N51">A8</f>
        <v>33725</v>
      </c>
      <c r="O8" s="27">
        <f aca="true" t="shared" si="7" ref="O8:O23">K8-M8</f>
        <v>345792.87272727274</v>
      </c>
      <c r="P8" s="27">
        <f aca="true" t="shared" si="8" ref="P8:P51">E8+K8</f>
        <v>743861.8181818181</v>
      </c>
      <c r="Q8" s="57">
        <f aca="true" t="shared" si="9" ref="Q8:Q51">P8*0.08</f>
        <v>59508.94545454545</v>
      </c>
      <c r="R8" s="57">
        <v>0</v>
      </c>
      <c r="S8" s="57">
        <f aca="true" t="shared" si="10" ref="S8:S51">O8+Q8+R8</f>
        <v>405301.8181818182</v>
      </c>
    </row>
    <row r="9" spans="1:19" ht="12.75">
      <c r="A9" s="35">
        <f>'Salário Mínimo'!A221</f>
        <v>33756</v>
      </c>
      <c r="B9" s="33" t="str">
        <f>'Salário Mínimo'!B221</f>
        <v>Cr$</v>
      </c>
      <c r="C9" s="27">
        <f>'Salário Mínimo'!C221</f>
        <v>230000</v>
      </c>
      <c r="D9" s="28">
        <v>1.6</v>
      </c>
      <c r="E9" s="28">
        <f t="shared" si="0"/>
        <v>368000</v>
      </c>
      <c r="F9" s="42">
        <f t="shared" si="1"/>
        <v>1672.7272727272727</v>
      </c>
      <c r="G9" s="44">
        <v>128.4</v>
      </c>
      <c r="H9" s="45">
        <f t="shared" si="2"/>
        <v>322167.2727272727</v>
      </c>
      <c r="I9" s="45">
        <f t="shared" si="3"/>
        <v>53694.54545454545</v>
      </c>
      <c r="J9" s="37"/>
      <c r="K9" s="45">
        <f t="shared" si="4"/>
        <v>375861.8181818182</v>
      </c>
      <c r="L9" s="58">
        <v>0.08</v>
      </c>
      <c r="M9" s="57">
        <f t="shared" si="5"/>
        <v>30068.945454545454</v>
      </c>
      <c r="N9" s="146">
        <f t="shared" si="6"/>
        <v>33756</v>
      </c>
      <c r="O9" s="27">
        <f t="shared" si="7"/>
        <v>345792.87272727274</v>
      </c>
      <c r="P9" s="27">
        <f t="shared" si="8"/>
        <v>743861.8181818181</v>
      </c>
      <c r="Q9" s="57">
        <f t="shared" si="9"/>
        <v>59508.94545454545</v>
      </c>
      <c r="R9" s="57">
        <v>0</v>
      </c>
      <c r="S9" s="57">
        <f t="shared" si="10"/>
        <v>405301.8181818182</v>
      </c>
    </row>
    <row r="10" spans="1:19" ht="12.75" hidden="1">
      <c r="A10" s="35">
        <f>'Salário Mínimo'!A222</f>
        <v>33786</v>
      </c>
      <c r="B10" s="33" t="str">
        <f>'Salário Mínimo'!B222</f>
        <v>Cr$</v>
      </c>
      <c r="C10" s="27">
        <f>'Salário Mínimo'!C222</f>
        <v>230000</v>
      </c>
      <c r="D10" s="28">
        <v>1.6</v>
      </c>
      <c r="E10" s="28">
        <f t="shared" si="0"/>
        <v>368000</v>
      </c>
      <c r="F10" s="42">
        <f t="shared" si="1"/>
        <v>1672.7272727272727</v>
      </c>
      <c r="G10" s="44">
        <v>128.4</v>
      </c>
      <c r="H10" s="45">
        <f t="shared" si="2"/>
        <v>322167.2727272727</v>
      </c>
      <c r="I10" s="45">
        <f t="shared" si="3"/>
        <v>53694.54545454545</v>
      </c>
      <c r="J10" s="37"/>
      <c r="K10" s="45">
        <f t="shared" si="4"/>
        <v>375861.8181818182</v>
      </c>
      <c r="L10" s="58">
        <v>0.08</v>
      </c>
      <c r="M10" s="57">
        <f t="shared" si="5"/>
        <v>30068.945454545454</v>
      </c>
      <c r="N10" s="146">
        <f t="shared" si="6"/>
        <v>33786</v>
      </c>
      <c r="O10" s="27">
        <f t="shared" si="7"/>
        <v>345792.87272727274</v>
      </c>
      <c r="P10" s="27">
        <f t="shared" si="8"/>
        <v>743861.8181818181</v>
      </c>
      <c r="Q10" s="57">
        <f t="shared" si="9"/>
        <v>59508.94545454545</v>
      </c>
      <c r="R10" s="57">
        <v>0</v>
      </c>
      <c r="S10" s="57">
        <f t="shared" si="10"/>
        <v>405301.8181818182</v>
      </c>
    </row>
    <row r="11" spans="1:19" ht="12.75">
      <c r="A11" s="35">
        <f>'Salário Mínimo'!A223</f>
        <v>33817</v>
      </c>
      <c r="B11" s="33" t="str">
        <f>'Salário Mínimo'!B223</f>
        <v>Cr$</v>
      </c>
      <c r="C11" s="27">
        <f>'Salário Mínimo'!C223</f>
        <v>230000</v>
      </c>
      <c r="D11" s="28">
        <v>1.6</v>
      </c>
      <c r="E11" s="28">
        <f t="shared" si="0"/>
        <v>368000</v>
      </c>
      <c r="F11" s="42">
        <f t="shared" si="1"/>
        <v>1672.7272727272727</v>
      </c>
      <c r="G11" s="44">
        <v>128.4</v>
      </c>
      <c r="H11" s="45">
        <f t="shared" si="2"/>
        <v>322167.2727272727</v>
      </c>
      <c r="I11" s="45">
        <f t="shared" si="3"/>
        <v>53694.54545454545</v>
      </c>
      <c r="J11" s="37"/>
      <c r="K11" s="45">
        <f t="shared" si="4"/>
        <v>375861.8181818182</v>
      </c>
      <c r="L11" s="58">
        <v>0.08</v>
      </c>
      <c r="M11" s="57">
        <f t="shared" si="5"/>
        <v>30068.945454545454</v>
      </c>
      <c r="N11" s="146">
        <f t="shared" si="6"/>
        <v>33817</v>
      </c>
      <c r="O11" s="27">
        <f t="shared" si="7"/>
        <v>345792.87272727274</v>
      </c>
      <c r="P11" s="27">
        <f t="shared" si="8"/>
        <v>743861.8181818181</v>
      </c>
      <c r="Q11" s="57">
        <f t="shared" si="9"/>
        <v>59508.94545454545</v>
      </c>
      <c r="R11" s="57">
        <v>0</v>
      </c>
      <c r="S11" s="57">
        <f t="shared" si="10"/>
        <v>405301.8181818182</v>
      </c>
    </row>
    <row r="12" spans="1:19" ht="12.75">
      <c r="A12" s="35">
        <f>'Salário Mínimo'!A224</f>
        <v>33848</v>
      </c>
      <c r="B12" s="33" t="str">
        <f>'Salário Mínimo'!B224</f>
        <v>Cr$</v>
      </c>
      <c r="C12" s="27">
        <f>'Salário Mínimo'!C224</f>
        <v>522188.94</v>
      </c>
      <c r="D12" s="28">
        <v>1.6</v>
      </c>
      <c r="E12" s="28">
        <f t="shared" si="0"/>
        <v>835502.304</v>
      </c>
      <c r="F12" s="42">
        <f t="shared" si="1"/>
        <v>3797.7377454545453</v>
      </c>
      <c r="G12" s="44">
        <v>128.4</v>
      </c>
      <c r="H12" s="45">
        <f t="shared" si="2"/>
        <v>731444.2897745455</v>
      </c>
      <c r="I12" s="45">
        <f t="shared" si="3"/>
        <v>121907.38162909092</v>
      </c>
      <c r="J12" s="37"/>
      <c r="K12" s="45">
        <f t="shared" si="4"/>
        <v>853351.6714036363</v>
      </c>
      <c r="L12" s="58">
        <v>0.08</v>
      </c>
      <c r="M12" s="57">
        <f t="shared" si="5"/>
        <v>68268.1337122909</v>
      </c>
      <c r="N12" s="146">
        <f t="shared" si="6"/>
        <v>33848</v>
      </c>
      <c r="O12" s="27">
        <f t="shared" si="7"/>
        <v>785083.5376913454</v>
      </c>
      <c r="P12" s="27">
        <f t="shared" si="8"/>
        <v>1688853.9754036362</v>
      </c>
      <c r="Q12" s="57">
        <f t="shared" si="9"/>
        <v>135108.3180322909</v>
      </c>
      <c r="R12" s="57">
        <v>0</v>
      </c>
      <c r="S12" s="57">
        <f t="shared" si="10"/>
        <v>920191.8557236363</v>
      </c>
    </row>
    <row r="13" spans="1:19" ht="12.75">
      <c r="A13" s="35">
        <f>'Salário Mínimo'!A225</f>
        <v>33878</v>
      </c>
      <c r="B13" s="33" t="str">
        <f>'Salário Mínimo'!B225</f>
        <v>Cr$</v>
      </c>
      <c r="C13" s="27">
        <f>'Salário Mínimo'!C225</f>
        <v>522188.94</v>
      </c>
      <c r="D13" s="28">
        <v>1.6</v>
      </c>
      <c r="E13" s="28">
        <f t="shared" si="0"/>
        <v>835502.304</v>
      </c>
      <c r="F13" s="42">
        <f t="shared" si="1"/>
        <v>3797.7377454545453</v>
      </c>
      <c r="G13" s="44">
        <v>128.4</v>
      </c>
      <c r="H13" s="45">
        <f t="shared" si="2"/>
        <v>731444.2897745455</v>
      </c>
      <c r="I13" s="45">
        <f t="shared" si="3"/>
        <v>121907.38162909092</v>
      </c>
      <c r="J13" s="37"/>
      <c r="K13" s="45">
        <f t="shared" si="4"/>
        <v>853351.6714036363</v>
      </c>
      <c r="L13" s="58">
        <v>0.08</v>
      </c>
      <c r="M13" s="57">
        <f t="shared" si="5"/>
        <v>68268.1337122909</v>
      </c>
      <c r="N13" s="146">
        <f t="shared" si="6"/>
        <v>33878</v>
      </c>
      <c r="O13" s="27">
        <f t="shared" si="7"/>
        <v>785083.5376913454</v>
      </c>
      <c r="P13" s="27">
        <f t="shared" si="8"/>
        <v>1688853.9754036362</v>
      </c>
      <c r="Q13" s="57">
        <f t="shared" si="9"/>
        <v>135108.3180322909</v>
      </c>
      <c r="R13" s="57">
        <v>0</v>
      </c>
      <c r="S13" s="57">
        <f t="shared" si="10"/>
        <v>920191.8557236363</v>
      </c>
    </row>
    <row r="14" spans="1:19" ht="12.75">
      <c r="A14" s="35">
        <f>'Salário Mínimo'!A226</f>
        <v>33909</v>
      </c>
      <c r="B14" s="33" t="str">
        <f>'Salário Mínimo'!B226</f>
        <v>Cr$</v>
      </c>
      <c r="C14" s="27">
        <f>'Salário Mínimo'!C226</f>
        <v>522188.94</v>
      </c>
      <c r="D14" s="28">
        <v>1.6</v>
      </c>
      <c r="E14" s="28">
        <f t="shared" si="0"/>
        <v>835502.304</v>
      </c>
      <c r="F14" s="42">
        <f t="shared" si="1"/>
        <v>3797.7377454545453</v>
      </c>
      <c r="G14" s="44">
        <v>128.4</v>
      </c>
      <c r="H14" s="45">
        <f t="shared" si="2"/>
        <v>731444.2897745455</v>
      </c>
      <c r="I14" s="45">
        <f t="shared" si="3"/>
        <v>121907.38162909092</v>
      </c>
      <c r="J14" s="37"/>
      <c r="K14" s="45">
        <f t="shared" si="4"/>
        <v>853351.6714036363</v>
      </c>
      <c r="L14" s="58">
        <v>0.08</v>
      </c>
      <c r="M14" s="57">
        <f t="shared" si="5"/>
        <v>68268.1337122909</v>
      </c>
      <c r="N14" s="146">
        <f t="shared" si="6"/>
        <v>33909</v>
      </c>
      <c r="O14" s="27">
        <f t="shared" si="7"/>
        <v>785083.5376913454</v>
      </c>
      <c r="P14" s="27">
        <f t="shared" si="8"/>
        <v>1688853.9754036362</v>
      </c>
      <c r="Q14" s="57">
        <f t="shared" si="9"/>
        <v>135108.3180322909</v>
      </c>
      <c r="R14" s="57">
        <v>0</v>
      </c>
      <c r="S14" s="57">
        <f t="shared" si="10"/>
        <v>920191.8557236363</v>
      </c>
    </row>
    <row r="15" spans="1:19" ht="12.75">
      <c r="A15" s="35">
        <f>'Salário Mínimo'!A227</f>
        <v>33939</v>
      </c>
      <c r="B15" s="33" t="str">
        <f>'Salário Mínimo'!B227</f>
        <v>Cr$</v>
      </c>
      <c r="C15" s="27">
        <f>'Salário Mínimo'!C227</f>
        <v>522188.94</v>
      </c>
      <c r="D15" s="28">
        <v>1.6</v>
      </c>
      <c r="E15" s="28">
        <f t="shared" si="0"/>
        <v>835502.304</v>
      </c>
      <c r="F15" s="42">
        <f t="shared" si="1"/>
        <v>3797.7377454545453</v>
      </c>
      <c r="G15" s="44">
        <v>128.4</v>
      </c>
      <c r="H15" s="45">
        <f t="shared" si="2"/>
        <v>731444.2897745455</v>
      </c>
      <c r="I15" s="45">
        <f t="shared" si="3"/>
        <v>121907.38162909092</v>
      </c>
      <c r="J15" s="37"/>
      <c r="K15" s="45">
        <f t="shared" si="4"/>
        <v>853351.6714036363</v>
      </c>
      <c r="L15" s="58">
        <v>0.08</v>
      </c>
      <c r="M15" s="57">
        <f t="shared" si="5"/>
        <v>68268.1337122909</v>
      </c>
      <c r="N15" s="146">
        <f t="shared" si="6"/>
        <v>33939</v>
      </c>
      <c r="O15" s="27">
        <f t="shared" si="7"/>
        <v>785083.5376913454</v>
      </c>
      <c r="P15" s="27">
        <f t="shared" si="8"/>
        <v>1688853.9754036362</v>
      </c>
      <c r="Q15" s="57">
        <f t="shared" si="9"/>
        <v>135108.3180322909</v>
      </c>
      <c r="R15" s="57">
        <v>0</v>
      </c>
      <c r="S15" s="57">
        <f t="shared" si="10"/>
        <v>920191.8557236363</v>
      </c>
    </row>
    <row r="16" spans="1:19" ht="12.75">
      <c r="A16" s="35" t="s">
        <v>44</v>
      </c>
      <c r="B16" s="33" t="str">
        <f>'Salário Mínimo'!B228</f>
        <v>Cr$</v>
      </c>
      <c r="C16" s="27">
        <f>'Salário Mínimo'!C228</f>
        <v>1250700</v>
      </c>
      <c r="D16" s="28">
        <v>1.6</v>
      </c>
      <c r="E16" s="28">
        <f>C16*D16</f>
        <v>2001120</v>
      </c>
      <c r="F16" s="42">
        <f t="shared" si="1"/>
        <v>9096</v>
      </c>
      <c r="G16" s="44">
        <f>SUM(G7:G15)/12</f>
        <v>96.30000000000001</v>
      </c>
      <c r="H16" s="45">
        <f>F16*1.5*G16</f>
        <v>1313917.2000000002</v>
      </c>
      <c r="I16" s="45">
        <f t="shared" si="3"/>
        <v>218986.20000000004</v>
      </c>
      <c r="J16" s="46">
        <f>E16/12*9</f>
        <v>1500840</v>
      </c>
      <c r="K16" s="45">
        <f t="shared" si="4"/>
        <v>3033743.4000000004</v>
      </c>
      <c r="L16" s="58">
        <v>0.08</v>
      </c>
      <c r="M16" s="57">
        <f t="shared" si="5"/>
        <v>242699.47200000004</v>
      </c>
      <c r="N16" s="146" t="str">
        <f t="shared" si="6"/>
        <v>13o. Sal.</v>
      </c>
      <c r="O16" s="27">
        <f t="shared" si="7"/>
        <v>2791043.9280000003</v>
      </c>
      <c r="P16" s="27">
        <f t="shared" si="8"/>
        <v>5034863.4</v>
      </c>
      <c r="Q16" s="57">
        <f t="shared" si="9"/>
        <v>402789.07200000004</v>
      </c>
      <c r="R16" s="57">
        <v>0</v>
      </c>
      <c r="S16" s="57">
        <f t="shared" si="10"/>
        <v>3193833.0000000005</v>
      </c>
    </row>
    <row r="17" spans="1:19" ht="12.75">
      <c r="A17" s="35">
        <f>'Salário Mínimo'!A228</f>
        <v>33970</v>
      </c>
      <c r="B17" s="33" t="str">
        <f>'Salário Mínimo'!B228</f>
        <v>Cr$</v>
      </c>
      <c r="C17" s="27">
        <f>'Salário Mínimo'!C228</f>
        <v>1250700</v>
      </c>
      <c r="D17" s="28">
        <v>1.6</v>
      </c>
      <c r="E17" s="28">
        <f t="shared" si="0"/>
        <v>2001120</v>
      </c>
      <c r="F17" s="42">
        <f t="shared" si="1"/>
        <v>9096</v>
      </c>
      <c r="G17" s="44">
        <v>128.4</v>
      </c>
      <c r="H17" s="45">
        <f t="shared" si="2"/>
        <v>1751889.6</v>
      </c>
      <c r="I17" s="45">
        <f t="shared" si="3"/>
        <v>291981.60000000003</v>
      </c>
      <c r="J17" s="37"/>
      <c r="K17" s="45">
        <f t="shared" si="4"/>
        <v>2043871.2000000002</v>
      </c>
      <c r="L17" s="58">
        <v>0.08</v>
      </c>
      <c r="M17" s="57">
        <f t="shared" si="5"/>
        <v>163509.69600000003</v>
      </c>
      <c r="N17" s="146">
        <f t="shared" si="6"/>
        <v>33970</v>
      </c>
      <c r="O17" s="27">
        <f t="shared" si="7"/>
        <v>1880361.5040000002</v>
      </c>
      <c r="P17" s="27">
        <f t="shared" si="8"/>
        <v>4044991.2</v>
      </c>
      <c r="Q17" s="57">
        <f t="shared" si="9"/>
        <v>323599.29600000003</v>
      </c>
      <c r="R17" s="57">
        <v>0</v>
      </c>
      <c r="S17" s="57">
        <f t="shared" si="10"/>
        <v>2203960.8000000003</v>
      </c>
    </row>
    <row r="18" spans="1:19" ht="12.75">
      <c r="A18" s="35">
        <f>'Salário Mínimo'!A229</f>
        <v>34001</v>
      </c>
      <c r="B18" s="33" t="str">
        <f>'Salário Mínimo'!B229</f>
        <v>Cr$</v>
      </c>
      <c r="C18" s="27">
        <f>'Salário Mínimo'!C229</f>
        <v>1250700</v>
      </c>
      <c r="D18" s="28">
        <v>1.6</v>
      </c>
      <c r="E18" s="28">
        <f t="shared" si="0"/>
        <v>2001120</v>
      </c>
      <c r="F18" s="42">
        <f t="shared" si="1"/>
        <v>9096</v>
      </c>
      <c r="G18" s="44">
        <v>128.4</v>
      </c>
      <c r="H18" s="45">
        <f t="shared" si="2"/>
        <v>1751889.6</v>
      </c>
      <c r="I18" s="45">
        <f t="shared" si="3"/>
        <v>291981.60000000003</v>
      </c>
      <c r="J18" s="37"/>
      <c r="K18" s="45">
        <f t="shared" si="4"/>
        <v>2043871.2000000002</v>
      </c>
      <c r="L18" s="58">
        <v>0.08</v>
      </c>
      <c r="M18" s="57">
        <f t="shared" si="5"/>
        <v>163509.69600000003</v>
      </c>
      <c r="N18" s="146">
        <f t="shared" si="6"/>
        <v>34001</v>
      </c>
      <c r="O18" s="27">
        <f t="shared" si="7"/>
        <v>1880361.5040000002</v>
      </c>
      <c r="P18" s="27">
        <f t="shared" si="8"/>
        <v>4044991.2</v>
      </c>
      <c r="Q18" s="57">
        <f t="shared" si="9"/>
        <v>323599.29600000003</v>
      </c>
      <c r="R18" s="57">
        <v>0</v>
      </c>
      <c r="S18" s="57">
        <f t="shared" si="10"/>
        <v>2203960.8000000003</v>
      </c>
    </row>
    <row r="19" spans="1:19" ht="12.75">
      <c r="A19" s="35">
        <f>'Salário Mínimo'!A230</f>
        <v>34029</v>
      </c>
      <c r="B19" s="33" t="str">
        <f>'Salário Mínimo'!B230</f>
        <v>Cr$</v>
      </c>
      <c r="C19" s="27">
        <f>'Salário Mínimo'!C230</f>
        <v>1709400</v>
      </c>
      <c r="D19" s="28">
        <v>1.6</v>
      </c>
      <c r="E19" s="28">
        <f t="shared" si="0"/>
        <v>2735040</v>
      </c>
      <c r="F19" s="42">
        <f t="shared" si="1"/>
        <v>12432</v>
      </c>
      <c r="G19" s="44">
        <v>128.4</v>
      </c>
      <c r="H19" s="45">
        <f t="shared" si="2"/>
        <v>2394403.2</v>
      </c>
      <c r="I19" s="45">
        <f t="shared" si="3"/>
        <v>399067.2</v>
      </c>
      <c r="J19" s="37"/>
      <c r="K19" s="45">
        <f t="shared" si="4"/>
        <v>2793470.4000000004</v>
      </c>
      <c r="L19" s="58">
        <v>0.08</v>
      </c>
      <c r="M19" s="57">
        <f t="shared" si="5"/>
        <v>223477.63200000004</v>
      </c>
      <c r="N19" s="146">
        <f t="shared" si="6"/>
        <v>34029</v>
      </c>
      <c r="O19" s="27">
        <f t="shared" si="7"/>
        <v>2569992.768</v>
      </c>
      <c r="P19" s="27">
        <f t="shared" si="8"/>
        <v>5528510.4</v>
      </c>
      <c r="Q19" s="57">
        <f t="shared" si="9"/>
        <v>442280.83200000005</v>
      </c>
      <c r="R19" s="57">
        <v>0</v>
      </c>
      <c r="S19" s="57">
        <f t="shared" si="10"/>
        <v>3012273.6</v>
      </c>
    </row>
    <row r="20" spans="1:19" ht="12.75">
      <c r="A20" s="35">
        <f>'Salário Mínimo'!A231</f>
        <v>34060</v>
      </c>
      <c r="B20" s="33" t="str">
        <f>'Salário Mínimo'!B231</f>
        <v>Cr$</v>
      </c>
      <c r="C20" s="27">
        <f>'Salário Mínimo'!C231</f>
        <v>1709400</v>
      </c>
      <c r="D20" s="28">
        <v>1.6</v>
      </c>
      <c r="E20" s="28">
        <f t="shared" si="0"/>
        <v>2735040</v>
      </c>
      <c r="F20" s="42">
        <f t="shared" si="1"/>
        <v>12432</v>
      </c>
      <c r="G20" s="44">
        <v>128.4</v>
      </c>
      <c r="H20" s="45">
        <f t="shared" si="2"/>
        <v>2394403.2</v>
      </c>
      <c r="I20" s="45">
        <f t="shared" si="3"/>
        <v>399067.2</v>
      </c>
      <c r="J20" s="37"/>
      <c r="K20" s="45">
        <f t="shared" si="4"/>
        <v>2793470.4000000004</v>
      </c>
      <c r="L20" s="58">
        <v>0.08</v>
      </c>
      <c r="M20" s="57">
        <f t="shared" si="5"/>
        <v>223477.63200000004</v>
      </c>
      <c r="N20" s="146">
        <f t="shared" si="6"/>
        <v>34060</v>
      </c>
      <c r="O20" s="27">
        <f t="shared" si="7"/>
        <v>2569992.768</v>
      </c>
      <c r="P20" s="27">
        <f t="shared" si="8"/>
        <v>5528510.4</v>
      </c>
      <c r="Q20" s="57">
        <f t="shared" si="9"/>
        <v>442280.83200000005</v>
      </c>
      <c r="R20" s="57">
        <v>0</v>
      </c>
      <c r="S20" s="57">
        <f t="shared" si="10"/>
        <v>3012273.6</v>
      </c>
    </row>
    <row r="21" spans="1:19" ht="12.75">
      <c r="A21" s="35">
        <f>'Salário Mínimo'!A232</f>
        <v>34090</v>
      </c>
      <c r="B21" s="33" t="str">
        <f>'Salário Mínimo'!B232</f>
        <v>Cr$</v>
      </c>
      <c r="C21" s="27">
        <f>'Salário Mínimo'!C232</f>
        <v>3303300</v>
      </c>
      <c r="D21" s="28">
        <v>1.6</v>
      </c>
      <c r="E21" s="28">
        <f t="shared" si="0"/>
        <v>5285280</v>
      </c>
      <c r="F21" s="42">
        <f t="shared" si="1"/>
        <v>24024</v>
      </c>
      <c r="G21" s="44">
        <v>128.4</v>
      </c>
      <c r="H21" s="45">
        <f t="shared" si="2"/>
        <v>4627022.4</v>
      </c>
      <c r="I21" s="45">
        <f t="shared" si="3"/>
        <v>771170.4</v>
      </c>
      <c r="J21" s="37"/>
      <c r="K21" s="45">
        <f t="shared" si="4"/>
        <v>5398192.800000001</v>
      </c>
      <c r="L21" s="58">
        <v>0.08</v>
      </c>
      <c r="M21" s="57">
        <f t="shared" si="5"/>
        <v>431855.42400000006</v>
      </c>
      <c r="N21" s="146">
        <f t="shared" si="6"/>
        <v>34090</v>
      </c>
      <c r="O21" s="27">
        <f t="shared" si="7"/>
        <v>4966337.376000001</v>
      </c>
      <c r="P21" s="27">
        <f t="shared" si="8"/>
        <v>10683472.8</v>
      </c>
      <c r="Q21" s="57">
        <f t="shared" si="9"/>
        <v>854677.824</v>
      </c>
      <c r="R21" s="57">
        <v>0</v>
      </c>
      <c r="S21" s="57">
        <f t="shared" si="10"/>
        <v>5821015.200000001</v>
      </c>
    </row>
    <row r="22" spans="1:19" ht="12.75">
      <c r="A22" s="35">
        <f>'Salário Mínimo'!A233</f>
        <v>34121</v>
      </c>
      <c r="B22" s="33" t="str">
        <f>'Salário Mínimo'!B233</f>
        <v>Cr$</v>
      </c>
      <c r="C22" s="27">
        <f>'Salário Mínimo'!C233</f>
        <v>3303300</v>
      </c>
      <c r="D22" s="28">
        <v>1.6</v>
      </c>
      <c r="E22" s="28">
        <f t="shared" si="0"/>
        <v>5285280</v>
      </c>
      <c r="F22" s="42">
        <f t="shared" si="1"/>
        <v>24024</v>
      </c>
      <c r="G22" s="44">
        <v>128.4</v>
      </c>
      <c r="H22" s="45">
        <f t="shared" si="2"/>
        <v>4627022.4</v>
      </c>
      <c r="I22" s="45">
        <f t="shared" si="3"/>
        <v>771170.4</v>
      </c>
      <c r="J22" s="37"/>
      <c r="K22" s="45">
        <f t="shared" si="4"/>
        <v>5398192.800000001</v>
      </c>
      <c r="L22" s="58">
        <v>0.08</v>
      </c>
      <c r="M22" s="57">
        <f t="shared" si="5"/>
        <v>431855.42400000006</v>
      </c>
      <c r="N22" s="146">
        <f t="shared" si="6"/>
        <v>34121</v>
      </c>
      <c r="O22" s="27">
        <f t="shared" si="7"/>
        <v>4966337.376000001</v>
      </c>
      <c r="P22" s="27">
        <f t="shared" si="8"/>
        <v>10683472.8</v>
      </c>
      <c r="Q22" s="57">
        <f t="shared" si="9"/>
        <v>854677.824</v>
      </c>
      <c r="R22" s="57">
        <v>0</v>
      </c>
      <c r="S22" s="57">
        <f t="shared" si="10"/>
        <v>5821015.200000001</v>
      </c>
    </row>
    <row r="23" spans="1:19" ht="12.75">
      <c r="A23" s="35">
        <f>'Salário Mínimo'!A234</f>
        <v>34151</v>
      </c>
      <c r="B23" s="33" t="str">
        <f>'Salário Mínimo'!B234</f>
        <v>Cr$</v>
      </c>
      <c r="C23" s="27">
        <f>'Salário Mínimo'!C234</f>
        <v>4639800</v>
      </c>
      <c r="D23" s="28">
        <v>1.6</v>
      </c>
      <c r="E23" s="28">
        <f t="shared" si="0"/>
        <v>7423680</v>
      </c>
      <c r="F23" s="42">
        <f t="shared" si="1"/>
        <v>33744</v>
      </c>
      <c r="G23" s="44">
        <v>128.4</v>
      </c>
      <c r="H23" s="45">
        <f t="shared" si="2"/>
        <v>6499094.4</v>
      </c>
      <c r="I23" s="45">
        <f t="shared" si="3"/>
        <v>1083182.4000000001</v>
      </c>
      <c r="J23" s="37"/>
      <c r="K23" s="45">
        <f t="shared" si="4"/>
        <v>7582276.800000001</v>
      </c>
      <c r="L23" s="58">
        <v>0.08</v>
      </c>
      <c r="M23" s="57">
        <f t="shared" si="5"/>
        <v>606582.1440000001</v>
      </c>
      <c r="N23" s="146">
        <f t="shared" si="6"/>
        <v>34151</v>
      </c>
      <c r="O23" s="27">
        <f t="shared" si="7"/>
        <v>6975694.656</v>
      </c>
      <c r="P23" s="27">
        <f t="shared" si="8"/>
        <v>15005956.8</v>
      </c>
      <c r="Q23" s="57">
        <f t="shared" si="9"/>
        <v>1200476.544</v>
      </c>
      <c r="R23" s="57">
        <v>0</v>
      </c>
      <c r="S23" s="57">
        <f t="shared" si="10"/>
        <v>8176171.2</v>
      </c>
    </row>
    <row r="24" spans="1:19" ht="12.75">
      <c r="A24" s="35" t="s">
        <v>46</v>
      </c>
      <c r="B24" s="35" t="s">
        <v>46</v>
      </c>
      <c r="C24" s="47"/>
      <c r="D24" s="48"/>
      <c r="E24" s="48"/>
      <c r="F24" s="49"/>
      <c r="G24" s="50"/>
      <c r="H24" s="51"/>
      <c r="I24" s="51"/>
      <c r="J24" s="26"/>
      <c r="K24" s="54">
        <f>SUM(K7:K23)</f>
        <v>36160885.41689455</v>
      </c>
      <c r="L24" s="26"/>
      <c r="M24" s="54">
        <f>SUM(M7:M23)</f>
        <v>2892870.8333515637</v>
      </c>
      <c r="N24" s="146" t="str">
        <f t="shared" si="6"/>
        <v>De Cr$</v>
      </c>
      <c r="O24" s="54">
        <f>SUM(O7:O23)</f>
        <v>33268014.583542988</v>
      </c>
      <c r="P24" s="54">
        <f>SUM(P7:P23)</f>
        <v>70596234.36089455</v>
      </c>
      <c r="Q24" s="54">
        <f>SUM(Q7:Q23)</f>
        <v>5647698.748871563</v>
      </c>
      <c r="R24" s="57">
        <v>0</v>
      </c>
      <c r="S24" s="57">
        <f t="shared" si="10"/>
        <v>38915713.33241455</v>
      </c>
    </row>
    <row r="25" spans="1:19" ht="12.75">
      <c r="A25" s="35" t="s">
        <v>47</v>
      </c>
      <c r="B25" s="35" t="s">
        <v>47</v>
      </c>
      <c r="C25" s="47"/>
      <c r="D25" s="48"/>
      <c r="E25" s="48"/>
      <c r="F25" s="49"/>
      <c r="G25" s="50"/>
      <c r="H25" s="51"/>
      <c r="I25" s="51"/>
      <c r="J25" s="26"/>
      <c r="K25" s="54">
        <f>K24/1000</f>
        <v>36160.88541689455</v>
      </c>
      <c r="L25" s="26"/>
      <c r="M25" s="54">
        <f>M24/1000</f>
        <v>2892.8708333515638</v>
      </c>
      <c r="N25" s="146" t="str">
        <f t="shared" si="6"/>
        <v>P/CR$</v>
      </c>
      <c r="O25" s="54">
        <f>O24/1000</f>
        <v>33268.01458354299</v>
      </c>
      <c r="P25" s="54">
        <f>P24/1000</f>
        <v>70596.23436089455</v>
      </c>
      <c r="Q25" s="54">
        <f>Q24/1000</f>
        <v>5647.698748871563</v>
      </c>
      <c r="R25" s="57">
        <v>0</v>
      </c>
      <c r="S25" s="57">
        <f t="shared" si="10"/>
        <v>38915.71333241455</v>
      </c>
    </row>
    <row r="26" spans="1:19" ht="12" customHeight="1">
      <c r="A26" s="35">
        <f>'Salário Mínimo'!A235</f>
        <v>34182</v>
      </c>
      <c r="B26" s="33" t="str">
        <f>'Salário Mínimo'!B235</f>
        <v>CR$</v>
      </c>
      <c r="C26" s="27">
        <f>'Salário Mínimo'!C235</f>
        <v>5534</v>
      </c>
      <c r="D26" s="28">
        <v>1.6</v>
      </c>
      <c r="E26" s="28">
        <f t="shared" si="0"/>
        <v>8854.4</v>
      </c>
      <c r="F26" s="42">
        <f t="shared" si="1"/>
        <v>40.24727272727272</v>
      </c>
      <c r="G26" s="44">
        <v>128.4</v>
      </c>
      <c r="H26" s="45">
        <f t="shared" si="2"/>
        <v>7751.624727272726</v>
      </c>
      <c r="I26" s="45">
        <f t="shared" si="3"/>
        <v>1291.9374545454543</v>
      </c>
      <c r="J26" s="37"/>
      <c r="K26" s="45">
        <f t="shared" si="4"/>
        <v>9043.56218181818</v>
      </c>
      <c r="L26" s="58">
        <v>0.08</v>
      </c>
      <c r="M26" s="57">
        <f aca="true" t="shared" si="11" ref="M26:M37">K26*L26</f>
        <v>723.4849745454545</v>
      </c>
      <c r="N26" s="146">
        <f t="shared" si="6"/>
        <v>34182</v>
      </c>
      <c r="O26" s="27">
        <f aca="true" t="shared" si="12" ref="O26:O37">K26-M26</f>
        <v>8320.077207272727</v>
      </c>
      <c r="P26" s="27">
        <f t="shared" si="8"/>
        <v>17897.96218181818</v>
      </c>
      <c r="Q26" s="57">
        <f t="shared" si="9"/>
        <v>1431.8369745454545</v>
      </c>
      <c r="R26" s="57">
        <v>0</v>
      </c>
      <c r="S26" s="57">
        <f t="shared" si="10"/>
        <v>9751.914181818182</v>
      </c>
    </row>
    <row r="27" spans="1:19" ht="12.75">
      <c r="A27" s="35">
        <f>'Salário Mínimo'!A236</f>
        <v>34213</v>
      </c>
      <c r="B27" s="33" t="str">
        <f>'Salário Mínimo'!B236</f>
        <v>CR$</v>
      </c>
      <c r="C27" s="27">
        <f>'Salário Mínimo'!C236</f>
        <v>9606</v>
      </c>
      <c r="D27" s="28">
        <v>1.6</v>
      </c>
      <c r="E27" s="28">
        <f t="shared" si="0"/>
        <v>15369.6</v>
      </c>
      <c r="F27" s="42">
        <f t="shared" si="1"/>
        <v>69.86181818181818</v>
      </c>
      <c r="G27" s="44">
        <v>128.4</v>
      </c>
      <c r="H27" s="45">
        <f t="shared" si="2"/>
        <v>13455.386181818181</v>
      </c>
      <c r="I27" s="45">
        <f t="shared" si="3"/>
        <v>2242.5643636363634</v>
      </c>
      <c r="J27" s="38"/>
      <c r="K27" s="45">
        <f t="shared" si="4"/>
        <v>15697.950545454545</v>
      </c>
      <c r="L27" s="58">
        <v>0.08</v>
      </c>
      <c r="M27" s="57">
        <f t="shared" si="11"/>
        <v>1255.8360436363637</v>
      </c>
      <c r="N27" s="146">
        <f t="shared" si="6"/>
        <v>34213</v>
      </c>
      <c r="O27" s="27">
        <f t="shared" si="12"/>
        <v>14442.114501818181</v>
      </c>
      <c r="P27" s="27">
        <f t="shared" si="8"/>
        <v>31067.550545454545</v>
      </c>
      <c r="Q27" s="57">
        <f t="shared" si="9"/>
        <v>2485.404043636364</v>
      </c>
      <c r="R27" s="57">
        <v>0</v>
      </c>
      <c r="S27" s="57">
        <f t="shared" si="10"/>
        <v>16927.518545454546</v>
      </c>
    </row>
    <row r="28" spans="1:19" ht="12.75">
      <c r="A28" s="35">
        <f>'Salário Mínimo'!A237</f>
        <v>34243</v>
      </c>
      <c r="B28" s="33" t="str">
        <f>'Salário Mínimo'!B237</f>
        <v>CR$</v>
      </c>
      <c r="C28" s="27">
        <f>'Salário Mínimo'!C237</f>
        <v>12024</v>
      </c>
      <c r="D28" s="28">
        <v>1.6</v>
      </c>
      <c r="E28" s="28">
        <f t="shared" si="0"/>
        <v>19238.4</v>
      </c>
      <c r="F28" s="42">
        <f t="shared" si="1"/>
        <v>87.44727272727273</v>
      </c>
      <c r="G28" s="44">
        <v>128.4</v>
      </c>
      <c r="H28" s="45">
        <f t="shared" si="2"/>
        <v>16842.34472727273</v>
      </c>
      <c r="I28" s="45">
        <f t="shared" si="3"/>
        <v>2807.057454545455</v>
      </c>
      <c r="J28" s="37"/>
      <c r="K28" s="45">
        <f t="shared" si="4"/>
        <v>19649.402181818186</v>
      </c>
      <c r="L28" s="58">
        <v>0.08</v>
      </c>
      <c r="M28" s="57">
        <f t="shared" si="11"/>
        <v>1571.952174545455</v>
      </c>
      <c r="N28" s="146">
        <f t="shared" si="6"/>
        <v>34243</v>
      </c>
      <c r="O28" s="27">
        <f t="shared" si="12"/>
        <v>18077.45000727273</v>
      </c>
      <c r="P28" s="27">
        <f t="shared" si="8"/>
        <v>38887.80218181819</v>
      </c>
      <c r="Q28" s="57">
        <f t="shared" si="9"/>
        <v>3111.024174545455</v>
      </c>
      <c r="R28" s="57">
        <v>0</v>
      </c>
      <c r="S28" s="57">
        <f t="shared" si="10"/>
        <v>21188.474181818186</v>
      </c>
    </row>
    <row r="29" spans="1:19" ht="12.75">
      <c r="A29" s="35">
        <f>'Salário Mínimo'!A238</f>
        <v>34274</v>
      </c>
      <c r="B29" s="33" t="str">
        <f>'Salário Mínimo'!B238</f>
        <v>CR$</v>
      </c>
      <c r="C29" s="27">
        <f>'Salário Mínimo'!C238</f>
        <v>15021</v>
      </c>
      <c r="D29" s="28">
        <v>1.6</v>
      </c>
      <c r="E29" s="28">
        <f t="shared" si="0"/>
        <v>24033.600000000002</v>
      </c>
      <c r="F29" s="42">
        <f t="shared" si="1"/>
        <v>109.24363636363637</v>
      </c>
      <c r="G29" s="44">
        <v>128.4</v>
      </c>
      <c r="H29" s="45">
        <f t="shared" si="2"/>
        <v>21040.324363636366</v>
      </c>
      <c r="I29" s="45">
        <f t="shared" si="3"/>
        <v>3506.720727272728</v>
      </c>
      <c r="J29" s="37"/>
      <c r="K29" s="45">
        <f t="shared" si="4"/>
        <v>24547.045090909094</v>
      </c>
      <c r="L29" s="58">
        <v>0.08</v>
      </c>
      <c r="M29" s="57">
        <f t="shared" si="11"/>
        <v>1963.7636072727275</v>
      </c>
      <c r="N29" s="146">
        <f t="shared" si="6"/>
        <v>34274</v>
      </c>
      <c r="O29" s="27">
        <f t="shared" si="12"/>
        <v>22583.281483636365</v>
      </c>
      <c r="P29" s="27">
        <f t="shared" si="8"/>
        <v>48580.64509090909</v>
      </c>
      <c r="Q29" s="57">
        <f t="shared" si="9"/>
        <v>3886.4516072727274</v>
      </c>
      <c r="R29" s="57">
        <v>0</v>
      </c>
      <c r="S29" s="57">
        <f t="shared" si="10"/>
        <v>26469.733090909092</v>
      </c>
    </row>
    <row r="30" spans="1:19" ht="12.75">
      <c r="A30" s="35">
        <f>'Salário Mínimo'!A239</f>
        <v>34304</v>
      </c>
      <c r="B30" s="33" t="str">
        <f>'Salário Mínimo'!B239</f>
        <v>CR$</v>
      </c>
      <c r="C30" s="27">
        <f>'Salário Mínimo'!C239</f>
        <v>18760</v>
      </c>
      <c r="D30" s="28">
        <v>1.6</v>
      </c>
      <c r="E30" s="28">
        <f t="shared" si="0"/>
        <v>30016</v>
      </c>
      <c r="F30" s="42">
        <f t="shared" si="1"/>
        <v>136.43636363636364</v>
      </c>
      <c r="G30" s="44">
        <v>128.4</v>
      </c>
      <c r="H30" s="45">
        <f t="shared" si="2"/>
        <v>26277.64363636364</v>
      </c>
      <c r="I30" s="45">
        <f t="shared" si="3"/>
        <v>4379.607272727273</v>
      </c>
      <c r="J30" s="37"/>
      <c r="K30" s="45">
        <f t="shared" si="4"/>
        <v>30657.25090909091</v>
      </c>
      <c r="L30" s="58">
        <v>0.08</v>
      </c>
      <c r="M30" s="57">
        <f t="shared" si="11"/>
        <v>2452.580072727273</v>
      </c>
      <c r="N30" s="146">
        <f t="shared" si="6"/>
        <v>34304</v>
      </c>
      <c r="O30" s="27">
        <f t="shared" si="12"/>
        <v>28204.67083636364</v>
      </c>
      <c r="P30" s="27">
        <f t="shared" si="8"/>
        <v>60673.250909090915</v>
      </c>
      <c r="Q30" s="57">
        <f t="shared" si="9"/>
        <v>4853.860072727273</v>
      </c>
      <c r="R30" s="57">
        <v>0</v>
      </c>
      <c r="S30" s="57">
        <f t="shared" si="10"/>
        <v>33058.530909090914</v>
      </c>
    </row>
    <row r="31" spans="1:19" ht="12.75">
      <c r="A31" s="35" t="s">
        <v>44</v>
      </c>
      <c r="B31" s="33" t="str">
        <f>'Salário Mínimo'!B240</f>
        <v>CR$</v>
      </c>
      <c r="C31" s="27">
        <f>'Salário Mínimo'!C240</f>
        <v>32882</v>
      </c>
      <c r="D31" s="28">
        <v>1.6</v>
      </c>
      <c r="E31" s="28">
        <f>C31*D31</f>
        <v>52611.200000000004</v>
      </c>
      <c r="F31" s="42">
        <f t="shared" si="1"/>
        <v>239.1418181818182</v>
      </c>
      <c r="G31" s="44">
        <v>128.4</v>
      </c>
      <c r="H31" s="45">
        <f>F31*1.5*G31</f>
        <v>46058.71418181819</v>
      </c>
      <c r="I31" s="45">
        <f t="shared" si="3"/>
        <v>7676.452363636366</v>
      </c>
      <c r="J31" s="46">
        <f>E31</f>
        <v>52611.200000000004</v>
      </c>
      <c r="K31" s="45">
        <f t="shared" si="4"/>
        <v>106346.36654545457</v>
      </c>
      <c r="L31" s="58">
        <v>0.08</v>
      </c>
      <c r="M31" s="57">
        <f t="shared" si="11"/>
        <v>8507.709323636365</v>
      </c>
      <c r="N31" s="146" t="str">
        <f t="shared" si="6"/>
        <v>13o. Sal.</v>
      </c>
      <c r="O31" s="27">
        <f t="shared" si="12"/>
        <v>97838.6572218182</v>
      </c>
      <c r="P31" s="27">
        <f t="shared" si="8"/>
        <v>158957.56654545458</v>
      </c>
      <c r="Q31" s="57">
        <f t="shared" si="9"/>
        <v>12716.605323636366</v>
      </c>
      <c r="R31" s="57">
        <v>0</v>
      </c>
      <c r="S31" s="57">
        <f t="shared" si="10"/>
        <v>110555.26254545456</v>
      </c>
    </row>
    <row r="32" spans="1:19" ht="12.75">
      <c r="A32" s="35">
        <f>'Salário Mínimo'!A240</f>
        <v>34335</v>
      </c>
      <c r="B32" s="33" t="str">
        <f>'Salário Mínimo'!B240</f>
        <v>CR$</v>
      </c>
      <c r="C32" s="27">
        <f>'Salário Mínimo'!C240</f>
        <v>32882</v>
      </c>
      <c r="D32" s="28">
        <v>1.6</v>
      </c>
      <c r="E32" s="28">
        <f t="shared" si="0"/>
        <v>52611.200000000004</v>
      </c>
      <c r="F32" s="42">
        <f t="shared" si="1"/>
        <v>239.1418181818182</v>
      </c>
      <c r="G32" s="44">
        <v>128.4</v>
      </c>
      <c r="H32" s="45">
        <f t="shared" si="2"/>
        <v>46058.71418181819</v>
      </c>
      <c r="I32" s="45">
        <f t="shared" si="3"/>
        <v>7676.452363636366</v>
      </c>
      <c r="J32" s="37"/>
      <c r="K32" s="45">
        <f t="shared" si="4"/>
        <v>53735.16654545456</v>
      </c>
      <c r="L32" s="58">
        <v>0.08</v>
      </c>
      <c r="M32" s="57">
        <f t="shared" si="11"/>
        <v>4298.813323636365</v>
      </c>
      <c r="N32" s="146">
        <f t="shared" si="6"/>
        <v>34335</v>
      </c>
      <c r="O32" s="27">
        <f t="shared" si="12"/>
        <v>49436.35322181819</v>
      </c>
      <c r="P32" s="27">
        <f t="shared" si="8"/>
        <v>106346.36654545457</v>
      </c>
      <c r="Q32" s="57">
        <f t="shared" si="9"/>
        <v>8507.709323636365</v>
      </c>
      <c r="R32" s="57">
        <v>0</v>
      </c>
      <c r="S32" s="57">
        <f t="shared" si="10"/>
        <v>57944.06254545456</v>
      </c>
    </row>
    <row r="33" spans="1:19" ht="12.75">
      <c r="A33" s="35">
        <f>'Salário Mínimo'!A241</f>
        <v>34366</v>
      </c>
      <c r="B33" s="33" t="str">
        <f>'Salário Mínimo'!B241</f>
        <v>CR$</v>
      </c>
      <c r="C33" s="27">
        <f>'Salário Mínimo'!C241</f>
        <v>42829</v>
      </c>
      <c r="D33" s="28">
        <v>1.6</v>
      </c>
      <c r="E33" s="28">
        <f t="shared" si="0"/>
        <v>68526.40000000001</v>
      </c>
      <c r="F33" s="42">
        <f t="shared" si="1"/>
        <v>311.4836363636364</v>
      </c>
      <c r="G33" s="44">
        <v>128.4</v>
      </c>
      <c r="H33" s="45">
        <f t="shared" si="2"/>
        <v>59991.74836363637</v>
      </c>
      <c r="I33" s="45">
        <f t="shared" si="3"/>
        <v>9998.624727272729</v>
      </c>
      <c r="J33" s="37"/>
      <c r="K33" s="45">
        <f t="shared" si="4"/>
        <v>69990.3730909091</v>
      </c>
      <c r="L33" s="58">
        <v>0.08</v>
      </c>
      <c r="M33" s="57">
        <f t="shared" si="11"/>
        <v>5599.229847272728</v>
      </c>
      <c r="N33" s="146">
        <f t="shared" si="6"/>
        <v>34366</v>
      </c>
      <c r="O33" s="27">
        <f t="shared" si="12"/>
        <v>64391.14324363637</v>
      </c>
      <c r="P33" s="27">
        <f t="shared" si="8"/>
        <v>138516.77309090912</v>
      </c>
      <c r="Q33" s="57">
        <f t="shared" si="9"/>
        <v>11081.34184727273</v>
      </c>
      <c r="R33" s="57">
        <v>0</v>
      </c>
      <c r="S33" s="57">
        <f t="shared" si="10"/>
        <v>75472.4850909091</v>
      </c>
    </row>
    <row r="34" spans="1:19" ht="12.75">
      <c r="A34" s="35">
        <f>'Salário Mínimo'!A242</f>
        <v>34394</v>
      </c>
      <c r="B34" s="33" t="str">
        <f>'Salário Mínimo'!B242</f>
        <v>URV p/CR$</v>
      </c>
      <c r="C34" s="27">
        <f>'Salário Mínimo'!C242</f>
        <v>60322.7295</v>
      </c>
      <c r="D34" s="28">
        <v>1.6</v>
      </c>
      <c r="E34" s="28">
        <f t="shared" si="0"/>
        <v>96516.36720000001</v>
      </c>
      <c r="F34" s="42">
        <f t="shared" si="1"/>
        <v>438.71076000000005</v>
      </c>
      <c r="G34" s="44">
        <v>128.4</v>
      </c>
      <c r="H34" s="45">
        <f t="shared" si="2"/>
        <v>84495.69237600002</v>
      </c>
      <c r="I34" s="45">
        <f t="shared" si="3"/>
        <v>14082.615396000003</v>
      </c>
      <c r="J34" s="37"/>
      <c r="K34" s="45">
        <f t="shared" si="4"/>
        <v>98578.30777200003</v>
      </c>
      <c r="L34" s="58">
        <v>0.08</v>
      </c>
      <c r="M34" s="57">
        <f t="shared" si="11"/>
        <v>7886.264621760002</v>
      </c>
      <c r="N34" s="146">
        <f t="shared" si="6"/>
        <v>34394</v>
      </c>
      <c r="O34" s="27">
        <f t="shared" si="12"/>
        <v>90692.04315024003</v>
      </c>
      <c r="P34" s="27">
        <f t="shared" si="8"/>
        <v>195094.67497200004</v>
      </c>
      <c r="Q34" s="57">
        <f t="shared" si="9"/>
        <v>15607.573997760002</v>
      </c>
      <c r="R34" s="57">
        <v>0</v>
      </c>
      <c r="S34" s="57">
        <f t="shared" si="10"/>
        <v>106299.61714800003</v>
      </c>
    </row>
    <row r="35" spans="1:19" ht="12.75">
      <c r="A35" s="35">
        <f>'Salário Mínimo'!A243</f>
        <v>34425</v>
      </c>
      <c r="B35" s="33" t="str">
        <f>'Salário Mínimo'!B243</f>
        <v>URV p/CR$</v>
      </c>
      <c r="C35" s="27">
        <f>'Salário Mínimo'!C243</f>
        <v>85776.7768</v>
      </c>
      <c r="D35" s="28">
        <v>1.6</v>
      </c>
      <c r="E35" s="28">
        <f t="shared" si="0"/>
        <v>137242.84288</v>
      </c>
      <c r="F35" s="42">
        <f t="shared" si="1"/>
        <v>623.8311040000001</v>
      </c>
      <c r="G35" s="44">
        <v>128.4</v>
      </c>
      <c r="H35" s="45">
        <f t="shared" si="2"/>
        <v>120149.87063040002</v>
      </c>
      <c r="I35" s="45">
        <f t="shared" si="3"/>
        <v>20024.978438400005</v>
      </c>
      <c r="J35" s="37"/>
      <c r="K35" s="45">
        <f t="shared" si="4"/>
        <v>140174.84906880002</v>
      </c>
      <c r="L35" s="58">
        <v>0.08</v>
      </c>
      <c r="M35" s="57">
        <f t="shared" si="11"/>
        <v>11213.987925504001</v>
      </c>
      <c r="N35" s="146">
        <f t="shared" si="6"/>
        <v>34425</v>
      </c>
      <c r="O35" s="27">
        <f t="shared" si="12"/>
        <v>128960.86114329602</v>
      </c>
      <c r="P35" s="27">
        <f t="shared" si="8"/>
        <v>277417.6919488</v>
      </c>
      <c r="Q35" s="57">
        <f t="shared" si="9"/>
        <v>22193.415355904</v>
      </c>
      <c r="R35" s="57">
        <v>0</v>
      </c>
      <c r="S35" s="57">
        <f t="shared" si="10"/>
        <v>151154.27649920003</v>
      </c>
    </row>
    <row r="36" spans="1:19" ht="12.75">
      <c r="A36" s="35">
        <f>'Salário Mínimo'!A244</f>
        <v>34455</v>
      </c>
      <c r="B36" s="33" t="str">
        <f>'Salário Mínimo'!B244</f>
        <v>URV p/CR$</v>
      </c>
      <c r="C36" s="27">
        <f>'Salário Mínimo'!C244</f>
        <v>121534.3778</v>
      </c>
      <c r="D36" s="28">
        <v>1.6</v>
      </c>
      <c r="E36" s="28">
        <f t="shared" si="0"/>
        <v>194455.00448</v>
      </c>
      <c r="F36" s="42">
        <f t="shared" si="1"/>
        <v>883.886384</v>
      </c>
      <c r="G36" s="44">
        <v>128.4</v>
      </c>
      <c r="H36" s="45">
        <f t="shared" si="2"/>
        <v>170236.51755840002</v>
      </c>
      <c r="I36" s="45">
        <f t="shared" si="3"/>
        <v>28372.752926400004</v>
      </c>
      <c r="J36" s="37"/>
      <c r="K36" s="45">
        <f t="shared" si="4"/>
        <v>198609.27048480004</v>
      </c>
      <c r="L36" s="58">
        <v>0.08</v>
      </c>
      <c r="M36" s="57">
        <f t="shared" si="11"/>
        <v>15888.741638784004</v>
      </c>
      <c r="N36" s="146">
        <f t="shared" si="6"/>
        <v>34455</v>
      </c>
      <c r="O36" s="27">
        <f t="shared" si="12"/>
        <v>182720.52884601604</v>
      </c>
      <c r="P36" s="27">
        <f t="shared" si="8"/>
        <v>393064.27496480005</v>
      </c>
      <c r="Q36" s="57">
        <f t="shared" si="9"/>
        <v>31445.141997184004</v>
      </c>
      <c r="R36" s="57">
        <v>0</v>
      </c>
      <c r="S36" s="57">
        <f t="shared" si="10"/>
        <v>214165.67084320003</v>
      </c>
    </row>
    <row r="37" spans="1:19" ht="12.75">
      <c r="A37" s="35">
        <f>'Salário Mínimo'!A245</f>
        <v>34486</v>
      </c>
      <c r="B37" s="33" t="str">
        <f>'Salário Mínimo'!B245</f>
        <v>URV p/CR$</v>
      </c>
      <c r="C37" s="27">
        <f>'Salário Mínimo'!C245</f>
        <v>178172.50000000003</v>
      </c>
      <c r="D37" s="28">
        <v>1.6</v>
      </c>
      <c r="E37" s="28">
        <f t="shared" si="0"/>
        <v>285076.00000000006</v>
      </c>
      <c r="F37" s="42">
        <f t="shared" si="1"/>
        <v>1295.8000000000002</v>
      </c>
      <c r="G37" s="44">
        <v>128.4</v>
      </c>
      <c r="H37" s="45">
        <f t="shared" si="2"/>
        <v>249571.08000000005</v>
      </c>
      <c r="I37" s="45">
        <f t="shared" si="3"/>
        <v>41595.18000000001</v>
      </c>
      <c r="J37" s="37"/>
      <c r="K37" s="45">
        <f t="shared" si="4"/>
        <v>291166.26000000007</v>
      </c>
      <c r="L37" s="58">
        <v>0.08</v>
      </c>
      <c r="M37" s="57">
        <f t="shared" si="11"/>
        <v>23293.300800000005</v>
      </c>
      <c r="N37" s="146">
        <f t="shared" si="6"/>
        <v>34486</v>
      </c>
      <c r="O37" s="27">
        <f t="shared" si="12"/>
        <v>267872.95920000004</v>
      </c>
      <c r="P37" s="27">
        <f t="shared" si="8"/>
        <v>576242.2600000001</v>
      </c>
      <c r="Q37" s="57">
        <f t="shared" si="9"/>
        <v>46099.38080000001</v>
      </c>
      <c r="R37" s="57">
        <v>0</v>
      </c>
      <c r="S37" s="57">
        <f t="shared" si="10"/>
        <v>313972.3400000001</v>
      </c>
    </row>
    <row r="38" spans="1:19" ht="12.75">
      <c r="A38" s="35" t="s">
        <v>48</v>
      </c>
      <c r="B38" s="35" t="s">
        <v>48</v>
      </c>
      <c r="C38" s="47"/>
      <c r="D38" s="48"/>
      <c r="E38" s="48"/>
      <c r="F38" s="49"/>
      <c r="G38" s="50"/>
      <c r="H38" s="51"/>
      <c r="I38" s="51"/>
      <c r="J38" s="26"/>
      <c r="K38" s="54">
        <f>SUM(K25:K37)</f>
        <v>1094356.6898334038</v>
      </c>
      <c r="L38" s="26"/>
      <c r="M38" s="54">
        <f>SUM(M25:M37)</f>
        <v>87548.5351866723</v>
      </c>
      <c r="N38" s="146" t="str">
        <f t="shared" si="6"/>
        <v>De CR$</v>
      </c>
      <c r="O38" s="54">
        <f>SUM(O25:O37)</f>
        <v>1006808.1546467316</v>
      </c>
      <c r="P38" s="54">
        <f>SUM(P25:P37)</f>
        <v>2113343.053337404</v>
      </c>
      <c r="Q38" s="54">
        <f>SUM(Q25:Q37)</f>
        <v>169067.44426699233</v>
      </c>
      <c r="R38" s="54">
        <f>SUM(R25:R37)</f>
        <v>0</v>
      </c>
      <c r="S38" s="54">
        <f>SUM(S25:S37)</f>
        <v>1175875.5989137238</v>
      </c>
    </row>
    <row r="39" spans="1:19" ht="12.75">
      <c r="A39" s="35" t="s">
        <v>49</v>
      </c>
      <c r="B39" s="35" t="s">
        <v>49</v>
      </c>
      <c r="C39" s="47"/>
      <c r="D39" s="48"/>
      <c r="E39" s="48"/>
      <c r="F39" s="49"/>
      <c r="G39" s="50"/>
      <c r="H39" s="51"/>
      <c r="I39" s="51"/>
      <c r="J39" s="26"/>
      <c r="K39" s="54">
        <f>K38/2750</f>
        <v>397.94788721214684</v>
      </c>
      <c r="L39" s="26"/>
      <c r="M39" s="54">
        <f>M38/2750</f>
        <v>31.83583097697175</v>
      </c>
      <c r="N39" s="146" t="str">
        <f t="shared" si="6"/>
        <v>P/R$</v>
      </c>
      <c r="O39" s="54">
        <f>O38/2750</f>
        <v>366.1120562351751</v>
      </c>
      <c r="P39" s="54">
        <f>P38/2750</f>
        <v>768.4883830317833</v>
      </c>
      <c r="Q39" s="54">
        <f>Q38/2750</f>
        <v>61.479070642542666</v>
      </c>
      <c r="R39" s="54">
        <f>R38/2750</f>
        <v>0</v>
      </c>
      <c r="S39" s="54">
        <f>S38/2750</f>
        <v>427.5911268777178</v>
      </c>
    </row>
    <row r="40" spans="1:19" ht="12.75">
      <c r="A40" s="35">
        <f>'Salário Mínimo'!A246</f>
        <v>34516</v>
      </c>
      <c r="B40" s="33" t="str">
        <f>'Salário Mínimo'!B246</f>
        <v>R$</v>
      </c>
      <c r="C40" s="27">
        <f>'Salário Mínimo'!C246</f>
        <v>64.79</v>
      </c>
      <c r="D40" s="28">
        <v>1.6</v>
      </c>
      <c r="E40" s="28">
        <f t="shared" si="0"/>
        <v>103.66400000000002</v>
      </c>
      <c r="F40" s="42">
        <f t="shared" si="1"/>
        <v>0.47120000000000006</v>
      </c>
      <c r="G40" s="44">
        <v>128.4</v>
      </c>
      <c r="H40" s="45">
        <f t="shared" si="2"/>
        <v>90.75312000000001</v>
      </c>
      <c r="I40" s="45">
        <f t="shared" si="3"/>
        <v>15.125520000000002</v>
      </c>
      <c r="J40" s="37"/>
      <c r="K40" s="45">
        <f t="shared" si="4"/>
        <v>105.87864000000002</v>
      </c>
      <c r="L40" s="58">
        <v>0.08</v>
      </c>
      <c r="M40" s="57">
        <f aca="true" t="shared" si="13" ref="M40:M51">K40*L40</f>
        <v>8.470291200000002</v>
      </c>
      <c r="N40" s="146">
        <f t="shared" si="6"/>
        <v>34516</v>
      </c>
      <c r="O40" s="27">
        <f aca="true" t="shared" si="14" ref="O40:O51">K40-M40</f>
        <v>97.40834880000001</v>
      </c>
      <c r="P40" s="27">
        <f t="shared" si="8"/>
        <v>209.54264000000003</v>
      </c>
      <c r="Q40" s="57">
        <f t="shared" si="9"/>
        <v>16.763411200000004</v>
      </c>
      <c r="R40" s="57">
        <v>0</v>
      </c>
      <c r="S40" s="57">
        <f t="shared" si="10"/>
        <v>114.17176000000002</v>
      </c>
    </row>
    <row r="41" spans="1:19" ht="12.75">
      <c r="A41" s="35">
        <f>'Salário Mínimo'!A247</f>
        <v>34547</v>
      </c>
      <c r="B41" s="33" t="str">
        <f>'Salário Mínimo'!B247</f>
        <v>R$</v>
      </c>
      <c r="C41" s="27">
        <f>'Salário Mínimo'!C247</f>
        <v>64.79</v>
      </c>
      <c r="D41" s="28">
        <v>1.6</v>
      </c>
      <c r="E41" s="28">
        <f t="shared" si="0"/>
        <v>103.66400000000002</v>
      </c>
      <c r="F41" s="42">
        <f t="shared" si="1"/>
        <v>0.47120000000000006</v>
      </c>
      <c r="G41" s="44">
        <v>128.4</v>
      </c>
      <c r="H41" s="45">
        <f t="shared" si="2"/>
        <v>90.75312000000001</v>
      </c>
      <c r="I41" s="45">
        <f t="shared" si="3"/>
        <v>15.125520000000002</v>
      </c>
      <c r="J41" s="37"/>
      <c r="K41" s="45">
        <f t="shared" si="4"/>
        <v>105.87864000000002</v>
      </c>
      <c r="L41" s="58">
        <v>0.08</v>
      </c>
      <c r="M41" s="57">
        <f t="shared" si="13"/>
        <v>8.470291200000002</v>
      </c>
      <c r="N41" s="146">
        <f t="shared" si="6"/>
        <v>34547</v>
      </c>
      <c r="O41" s="27">
        <f t="shared" si="14"/>
        <v>97.40834880000001</v>
      </c>
      <c r="P41" s="27">
        <f t="shared" si="8"/>
        <v>209.54264000000003</v>
      </c>
      <c r="Q41" s="57">
        <f t="shared" si="9"/>
        <v>16.763411200000004</v>
      </c>
      <c r="R41" s="57">
        <v>0</v>
      </c>
      <c r="S41" s="57">
        <f t="shared" si="10"/>
        <v>114.17176000000002</v>
      </c>
    </row>
    <row r="42" spans="1:19" ht="12.75">
      <c r="A42" s="35">
        <f>'Salário Mínimo'!A248</f>
        <v>34578</v>
      </c>
      <c r="B42" s="33" t="str">
        <f>'Salário Mínimo'!B248</f>
        <v>R$</v>
      </c>
      <c r="C42" s="27">
        <f>'Salário Mínimo'!C248</f>
        <v>70</v>
      </c>
      <c r="D42" s="28">
        <v>1.6</v>
      </c>
      <c r="E42" s="28">
        <f t="shared" si="0"/>
        <v>112</v>
      </c>
      <c r="F42" s="42">
        <f t="shared" si="1"/>
        <v>0.509090909090909</v>
      </c>
      <c r="G42" s="44">
        <v>128.4</v>
      </c>
      <c r="H42" s="45">
        <f t="shared" si="2"/>
        <v>98.05090909090909</v>
      </c>
      <c r="I42" s="45">
        <f t="shared" si="3"/>
        <v>16.34181818181818</v>
      </c>
      <c r="J42" s="39"/>
      <c r="K42" s="45">
        <f t="shared" si="4"/>
        <v>114.39272727272727</v>
      </c>
      <c r="L42" s="58">
        <v>0.08</v>
      </c>
      <c r="M42" s="57">
        <f t="shared" si="13"/>
        <v>9.151418181818181</v>
      </c>
      <c r="N42" s="146">
        <f t="shared" si="6"/>
        <v>34578</v>
      </c>
      <c r="O42" s="27">
        <f t="shared" si="14"/>
        <v>105.24130909090908</v>
      </c>
      <c r="P42" s="27">
        <f t="shared" si="8"/>
        <v>226.39272727272726</v>
      </c>
      <c r="Q42" s="57">
        <f t="shared" si="9"/>
        <v>18.11141818181818</v>
      </c>
      <c r="R42" s="57">
        <v>0</v>
      </c>
      <c r="S42" s="57">
        <f t="shared" si="10"/>
        <v>123.35272727272726</v>
      </c>
    </row>
    <row r="43" spans="1:19" ht="12.75">
      <c r="A43" s="35">
        <f>'Salário Mínimo'!A249</f>
        <v>34608</v>
      </c>
      <c r="B43" s="33" t="str">
        <f>'Salário Mínimo'!B249</f>
        <v>R$</v>
      </c>
      <c r="C43" s="27">
        <f>'Salário Mínimo'!C249</f>
        <v>70</v>
      </c>
      <c r="D43" s="28">
        <v>1.6</v>
      </c>
      <c r="E43" s="28">
        <f t="shared" si="0"/>
        <v>112</v>
      </c>
      <c r="F43" s="42">
        <f t="shared" si="1"/>
        <v>0.509090909090909</v>
      </c>
      <c r="G43" s="44">
        <v>128.4</v>
      </c>
      <c r="H43" s="45">
        <f t="shared" si="2"/>
        <v>98.05090909090909</v>
      </c>
      <c r="I43" s="45">
        <f t="shared" si="3"/>
        <v>16.34181818181818</v>
      </c>
      <c r="J43" s="36"/>
      <c r="K43" s="45">
        <f t="shared" si="4"/>
        <v>114.39272727272727</v>
      </c>
      <c r="L43" s="58">
        <v>0.08</v>
      </c>
      <c r="M43" s="57">
        <f t="shared" si="13"/>
        <v>9.151418181818181</v>
      </c>
      <c r="N43" s="146">
        <f t="shared" si="6"/>
        <v>34608</v>
      </c>
      <c r="O43" s="27">
        <f t="shared" si="14"/>
        <v>105.24130909090908</v>
      </c>
      <c r="P43" s="27">
        <f t="shared" si="8"/>
        <v>226.39272727272726</v>
      </c>
      <c r="Q43" s="57">
        <f t="shared" si="9"/>
        <v>18.11141818181818</v>
      </c>
      <c r="R43" s="57">
        <v>0</v>
      </c>
      <c r="S43" s="57">
        <f t="shared" si="10"/>
        <v>123.35272727272726</v>
      </c>
    </row>
    <row r="44" spans="1:19" ht="12.75">
      <c r="A44" s="35">
        <f>'Salário Mínimo'!A250</f>
        <v>34639</v>
      </c>
      <c r="B44" s="33" t="str">
        <f>'Salário Mínimo'!B250</f>
        <v>R$</v>
      </c>
      <c r="C44" s="27">
        <f>'Salário Mínimo'!C250</f>
        <v>70</v>
      </c>
      <c r="D44" s="28">
        <v>1.6</v>
      </c>
      <c r="E44" s="28">
        <f t="shared" si="0"/>
        <v>112</v>
      </c>
      <c r="F44" s="42">
        <f t="shared" si="1"/>
        <v>0.509090909090909</v>
      </c>
      <c r="G44" s="44">
        <v>128.4</v>
      </c>
      <c r="H44" s="45">
        <f t="shared" si="2"/>
        <v>98.05090909090909</v>
      </c>
      <c r="I44" s="45">
        <f t="shared" si="3"/>
        <v>16.34181818181818</v>
      </c>
      <c r="J44" s="37"/>
      <c r="K44" s="45">
        <f t="shared" si="4"/>
        <v>114.39272727272727</v>
      </c>
      <c r="L44" s="58">
        <v>0.08</v>
      </c>
      <c r="M44" s="57">
        <f t="shared" si="13"/>
        <v>9.151418181818181</v>
      </c>
      <c r="N44" s="146">
        <f t="shared" si="6"/>
        <v>34639</v>
      </c>
      <c r="O44" s="27">
        <f t="shared" si="14"/>
        <v>105.24130909090908</v>
      </c>
      <c r="P44" s="27">
        <f t="shared" si="8"/>
        <v>226.39272727272726</v>
      </c>
      <c r="Q44" s="57">
        <f t="shared" si="9"/>
        <v>18.11141818181818</v>
      </c>
      <c r="R44" s="57">
        <v>0</v>
      </c>
      <c r="S44" s="57">
        <f t="shared" si="10"/>
        <v>123.35272727272726</v>
      </c>
    </row>
    <row r="45" spans="1:19" ht="12.75">
      <c r="A45" s="35">
        <f>'Salário Mínimo'!A251</f>
        <v>34669</v>
      </c>
      <c r="B45" s="33" t="str">
        <f>'Salário Mínimo'!B251</f>
        <v>R$</v>
      </c>
      <c r="C45" s="27">
        <f>'Salário Mínimo'!C251</f>
        <v>70</v>
      </c>
      <c r="D45" s="28">
        <v>1.6</v>
      </c>
      <c r="E45" s="28">
        <f t="shared" si="0"/>
        <v>112</v>
      </c>
      <c r="F45" s="42">
        <f t="shared" si="1"/>
        <v>0.509090909090909</v>
      </c>
      <c r="G45" s="44">
        <v>128.4</v>
      </c>
      <c r="H45" s="45">
        <f t="shared" si="2"/>
        <v>98.05090909090909</v>
      </c>
      <c r="I45" s="45">
        <f t="shared" si="3"/>
        <v>16.34181818181818</v>
      </c>
      <c r="J45" s="37"/>
      <c r="K45" s="45">
        <f t="shared" si="4"/>
        <v>114.39272727272727</v>
      </c>
      <c r="L45" s="58">
        <v>0.08</v>
      </c>
      <c r="M45" s="57">
        <f t="shared" si="13"/>
        <v>9.151418181818181</v>
      </c>
      <c r="N45" s="146">
        <f t="shared" si="6"/>
        <v>34669</v>
      </c>
      <c r="O45" s="27">
        <f t="shared" si="14"/>
        <v>105.24130909090908</v>
      </c>
      <c r="P45" s="27">
        <f t="shared" si="8"/>
        <v>226.39272727272726</v>
      </c>
      <c r="Q45" s="57">
        <f t="shared" si="9"/>
        <v>18.11141818181818</v>
      </c>
      <c r="R45" s="57">
        <v>0</v>
      </c>
      <c r="S45" s="57">
        <f t="shared" si="10"/>
        <v>123.35272727272726</v>
      </c>
    </row>
    <row r="46" spans="1:19" ht="12.75">
      <c r="A46" s="35" t="s">
        <v>44</v>
      </c>
      <c r="B46" s="33" t="str">
        <f>'Salário Mínimo'!B252</f>
        <v>R$</v>
      </c>
      <c r="C46" s="27">
        <f>'Salário Mínimo'!C252</f>
        <v>70</v>
      </c>
      <c r="D46" s="28">
        <v>1.6</v>
      </c>
      <c r="E46" s="28">
        <f>C46*D46</f>
        <v>112</v>
      </c>
      <c r="F46" s="42">
        <f t="shared" si="1"/>
        <v>0.509090909090909</v>
      </c>
      <c r="G46" s="44">
        <v>128.4</v>
      </c>
      <c r="H46" s="45">
        <f>F46*1.5*G46</f>
        <v>98.05090909090909</v>
      </c>
      <c r="I46" s="45">
        <f t="shared" si="3"/>
        <v>16.34181818181818</v>
      </c>
      <c r="J46" s="46">
        <f>E46</f>
        <v>112</v>
      </c>
      <c r="K46" s="45">
        <f t="shared" si="4"/>
        <v>226.39272727272726</v>
      </c>
      <c r="L46" s="58">
        <v>0.08</v>
      </c>
      <c r="M46" s="57">
        <f t="shared" si="13"/>
        <v>18.11141818181818</v>
      </c>
      <c r="N46" s="146" t="str">
        <f t="shared" si="6"/>
        <v>13o. Sal.</v>
      </c>
      <c r="O46" s="27">
        <f t="shared" si="14"/>
        <v>208.28130909090908</v>
      </c>
      <c r="P46" s="27">
        <f t="shared" si="8"/>
        <v>338.39272727272726</v>
      </c>
      <c r="Q46" s="57">
        <f t="shared" si="9"/>
        <v>27.07141818181818</v>
      </c>
      <c r="R46" s="57">
        <v>0</v>
      </c>
      <c r="S46" s="57">
        <f t="shared" si="10"/>
        <v>235.35272727272726</v>
      </c>
    </row>
    <row r="47" spans="1:19" ht="12.75">
      <c r="A47" s="35">
        <f>'Salário Mínimo'!A252</f>
        <v>34700</v>
      </c>
      <c r="B47" s="33" t="str">
        <f>'Salário Mínimo'!B252</f>
        <v>R$</v>
      </c>
      <c r="C47" s="27">
        <f>'Salário Mínimo'!C252</f>
        <v>70</v>
      </c>
      <c r="D47" s="28">
        <v>1.6</v>
      </c>
      <c r="E47" s="28">
        <f t="shared" si="0"/>
        <v>112</v>
      </c>
      <c r="F47" s="42">
        <f t="shared" si="1"/>
        <v>0.509090909090909</v>
      </c>
      <c r="G47" s="44">
        <v>128.4</v>
      </c>
      <c r="H47" s="45">
        <f t="shared" si="2"/>
        <v>98.05090909090909</v>
      </c>
      <c r="I47" s="45">
        <f t="shared" si="3"/>
        <v>16.34181818181818</v>
      </c>
      <c r="J47" s="37"/>
      <c r="K47" s="45">
        <f t="shared" si="4"/>
        <v>114.39272727272727</v>
      </c>
      <c r="L47" s="58">
        <v>0.08</v>
      </c>
      <c r="M47" s="57">
        <f t="shared" si="13"/>
        <v>9.151418181818181</v>
      </c>
      <c r="N47" s="146">
        <f t="shared" si="6"/>
        <v>34700</v>
      </c>
      <c r="O47" s="27">
        <f t="shared" si="14"/>
        <v>105.24130909090908</v>
      </c>
      <c r="P47" s="27">
        <f t="shared" si="8"/>
        <v>226.39272727272726</v>
      </c>
      <c r="Q47" s="57">
        <f t="shared" si="9"/>
        <v>18.11141818181818</v>
      </c>
      <c r="R47" s="57">
        <v>0</v>
      </c>
      <c r="S47" s="57">
        <f t="shared" si="10"/>
        <v>123.35272727272726</v>
      </c>
    </row>
    <row r="48" spans="1:19" ht="12.75">
      <c r="A48" s="35">
        <f>'Salário Mínimo'!A253</f>
        <v>34731</v>
      </c>
      <c r="B48" s="33" t="str">
        <f>'Salário Mínimo'!B253</f>
        <v>R$</v>
      </c>
      <c r="C48" s="27">
        <f>'Salário Mínimo'!C253</f>
        <v>70</v>
      </c>
      <c r="D48" s="28">
        <v>1.6</v>
      </c>
      <c r="E48" s="28">
        <f t="shared" si="0"/>
        <v>112</v>
      </c>
      <c r="F48" s="42">
        <f t="shared" si="1"/>
        <v>0.509090909090909</v>
      </c>
      <c r="G48" s="44">
        <v>128.4</v>
      </c>
      <c r="H48" s="45">
        <f t="shared" si="2"/>
        <v>98.05090909090909</v>
      </c>
      <c r="I48" s="45">
        <f t="shared" si="3"/>
        <v>16.34181818181818</v>
      </c>
      <c r="J48" s="37"/>
      <c r="K48" s="45">
        <f t="shared" si="4"/>
        <v>114.39272727272727</v>
      </c>
      <c r="L48" s="58">
        <v>0.08</v>
      </c>
      <c r="M48" s="57">
        <f t="shared" si="13"/>
        <v>9.151418181818181</v>
      </c>
      <c r="N48" s="146">
        <f t="shared" si="6"/>
        <v>34731</v>
      </c>
      <c r="O48" s="27">
        <f t="shared" si="14"/>
        <v>105.24130909090908</v>
      </c>
      <c r="P48" s="27">
        <f t="shared" si="8"/>
        <v>226.39272727272726</v>
      </c>
      <c r="Q48" s="57">
        <f t="shared" si="9"/>
        <v>18.11141818181818</v>
      </c>
      <c r="R48" s="57">
        <v>0</v>
      </c>
      <c r="S48" s="57">
        <f t="shared" si="10"/>
        <v>123.35272727272726</v>
      </c>
    </row>
    <row r="49" spans="1:19" ht="12.75">
      <c r="A49" s="35">
        <f>'Salário Mínimo'!A254</f>
        <v>34759</v>
      </c>
      <c r="B49" s="33" t="str">
        <f>'Salário Mínimo'!B254</f>
        <v>R$</v>
      </c>
      <c r="C49" s="27">
        <f>'Salário Mínimo'!C254</f>
        <v>70</v>
      </c>
      <c r="D49" s="28">
        <v>1.6</v>
      </c>
      <c r="E49" s="28">
        <f t="shared" si="0"/>
        <v>112</v>
      </c>
      <c r="F49" s="42">
        <f t="shared" si="1"/>
        <v>0.509090909090909</v>
      </c>
      <c r="G49" s="44">
        <v>128.4</v>
      </c>
      <c r="H49" s="45">
        <f t="shared" si="2"/>
        <v>98.05090909090909</v>
      </c>
      <c r="I49" s="45">
        <f t="shared" si="3"/>
        <v>16.34181818181818</v>
      </c>
      <c r="J49" s="37"/>
      <c r="K49" s="45">
        <f t="shared" si="4"/>
        <v>114.39272727272727</v>
      </c>
      <c r="L49" s="58">
        <v>0.08</v>
      </c>
      <c r="M49" s="57">
        <f t="shared" si="13"/>
        <v>9.151418181818181</v>
      </c>
      <c r="N49" s="146">
        <f t="shared" si="6"/>
        <v>34759</v>
      </c>
      <c r="O49" s="27">
        <f t="shared" si="14"/>
        <v>105.24130909090908</v>
      </c>
      <c r="P49" s="27">
        <f t="shared" si="8"/>
        <v>226.39272727272726</v>
      </c>
      <c r="Q49" s="57">
        <f t="shared" si="9"/>
        <v>18.11141818181818</v>
      </c>
      <c r="R49" s="57">
        <v>0</v>
      </c>
      <c r="S49" s="57">
        <f t="shared" si="10"/>
        <v>123.35272727272726</v>
      </c>
    </row>
    <row r="50" spans="1:19" ht="12.75">
      <c r="A50" s="35">
        <f>'Salário Mínimo'!A255</f>
        <v>34790</v>
      </c>
      <c r="B50" s="33" t="str">
        <f>'Salário Mínimo'!B255</f>
        <v>R$</v>
      </c>
      <c r="C50" s="27">
        <f>'Salário Mínimo'!C255</f>
        <v>70</v>
      </c>
      <c r="D50" s="28">
        <v>1.6</v>
      </c>
      <c r="E50" s="28">
        <f t="shared" si="0"/>
        <v>112</v>
      </c>
      <c r="F50" s="42">
        <f t="shared" si="1"/>
        <v>0.509090909090909</v>
      </c>
      <c r="G50" s="44">
        <v>128.4</v>
      </c>
      <c r="H50" s="45">
        <f t="shared" si="2"/>
        <v>98.05090909090909</v>
      </c>
      <c r="I50" s="45">
        <f t="shared" si="3"/>
        <v>16.34181818181818</v>
      </c>
      <c r="J50" s="37"/>
      <c r="K50" s="45">
        <f t="shared" si="4"/>
        <v>114.39272727272727</v>
      </c>
      <c r="L50" s="58">
        <v>0.08</v>
      </c>
      <c r="M50" s="57">
        <f t="shared" si="13"/>
        <v>9.151418181818181</v>
      </c>
      <c r="N50" s="146">
        <f t="shared" si="6"/>
        <v>34790</v>
      </c>
      <c r="O50" s="27">
        <f t="shared" si="14"/>
        <v>105.24130909090908</v>
      </c>
      <c r="P50" s="27">
        <f t="shared" si="8"/>
        <v>226.39272727272726</v>
      </c>
      <c r="Q50" s="57">
        <f t="shared" si="9"/>
        <v>18.11141818181818</v>
      </c>
      <c r="R50" s="57">
        <v>0</v>
      </c>
      <c r="S50" s="57">
        <f t="shared" si="10"/>
        <v>123.35272727272726</v>
      </c>
    </row>
    <row r="51" spans="1:19" ht="12.75">
      <c r="A51" s="43">
        <v>34825</v>
      </c>
      <c r="B51" s="33" t="str">
        <f>'Salário Mínimo'!B256</f>
        <v>R$</v>
      </c>
      <c r="C51" s="27">
        <f>'Salário Mínimo'!C256</f>
        <v>100</v>
      </c>
      <c r="D51" s="28">
        <v>1.6</v>
      </c>
      <c r="E51" s="28">
        <f t="shared" si="0"/>
        <v>160</v>
      </c>
      <c r="F51" s="42">
        <f t="shared" si="1"/>
        <v>0.7272727272727273</v>
      </c>
      <c r="G51" s="44">
        <f>128.4/30*6</f>
        <v>25.68</v>
      </c>
      <c r="H51" s="45">
        <f t="shared" si="2"/>
        <v>28.014545454545452</v>
      </c>
      <c r="I51" s="45">
        <f t="shared" si="3"/>
        <v>4.669090909090909</v>
      </c>
      <c r="J51" s="37"/>
      <c r="K51" s="45">
        <f t="shared" si="4"/>
        <v>32.68363636363636</v>
      </c>
      <c r="L51" s="58">
        <v>0.08</v>
      </c>
      <c r="M51" s="57">
        <f t="shared" si="13"/>
        <v>2.6146909090909087</v>
      </c>
      <c r="N51" s="146">
        <f t="shared" si="6"/>
        <v>34825</v>
      </c>
      <c r="O51" s="27">
        <f t="shared" si="14"/>
        <v>30.06894545454545</v>
      </c>
      <c r="P51" s="27">
        <f t="shared" si="8"/>
        <v>192.68363636363637</v>
      </c>
      <c r="Q51" s="57">
        <f t="shared" si="9"/>
        <v>15.41469090909091</v>
      </c>
      <c r="R51" s="57">
        <v>0</v>
      </c>
      <c r="S51" s="57">
        <f t="shared" si="10"/>
        <v>45.48363636363636</v>
      </c>
    </row>
    <row r="52" spans="1:19" ht="12.75" hidden="1">
      <c r="A52" s="35">
        <v>36130</v>
      </c>
      <c r="B52" s="21" t="s">
        <v>10</v>
      </c>
      <c r="C52" s="21"/>
      <c r="D52" s="36">
        <v>715</v>
      </c>
      <c r="E52" s="36"/>
      <c r="F52" s="37"/>
      <c r="G52" s="37"/>
      <c r="H52" s="37"/>
      <c r="I52" s="45">
        <f t="shared" si="3"/>
        <v>0</v>
      </c>
      <c r="J52" s="37"/>
      <c r="K52" s="37"/>
      <c r="L52" s="37"/>
      <c r="M52" s="38">
        <v>78.65</v>
      </c>
      <c r="N52" s="35">
        <v>36130</v>
      </c>
      <c r="O52" s="38"/>
      <c r="P52" s="38"/>
      <c r="Q52" s="38">
        <v>80.08</v>
      </c>
      <c r="R52" s="57">
        <v>0</v>
      </c>
      <c r="S52" s="57">
        <v>0</v>
      </c>
    </row>
    <row r="53" spans="1:19" ht="12.75" hidden="1">
      <c r="A53" s="21" t="s">
        <v>11</v>
      </c>
      <c r="B53" s="21" t="s">
        <v>10</v>
      </c>
      <c r="C53" s="21"/>
      <c r="D53" s="40"/>
      <c r="E53" s="40"/>
      <c r="F53" s="36">
        <v>715</v>
      </c>
      <c r="G53" s="36"/>
      <c r="H53" s="36"/>
      <c r="I53" s="45">
        <f t="shared" si="3"/>
        <v>0</v>
      </c>
      <c r="J53" s="36"/>
      <c r="K53" s="37"/>
      <c r="L53" s="37"/>
      <c r="M53" s="38">
        <v>78.65</v>
      </c>
      <c r="N53" s="21" t="s">
        <v>11</v>
      </c>
      <c r="O53" s="38">
        <v>636.35</v>
      </c>
      <c r="P53" s="38"/>
      <c r="Q53" s="38">
        <v>80.08</v>
      </c>
      <c r="R53" s="57">
        <v>0</v>
      </c>
      <c r="S53" s="57">
        <v>0</v>
      </c>
    </row>
    <row r="54" spans="1:19" ht="12.75" hidden="1">
      <c r="A54" s="35">
        <v>36161</v>
      </c>
      <c r="B54" s="21" t="s">
        <v>10</v>
      </c>
      <c r="C54" s="21"/>
      <c r="D54" s="36">
        <v>715</v>
      </c>
      <c r="E54" s="36"/>
      <c r="F54" s="37"/>
      <c r="G54" s="37"/>
      <c r="H54" s="37"/>
      <c r="I54" s="45">
        <f t="shared" si="3"/>
        <v>0</v>
      </c>
      <c r="J54" s="37"/>
      <c r="K54" s="37"/>
      <c r="L54" s="37"/>
      <c r="M54" s="38">
        <v>78.65</v>
      </c>
      <c r="N54" s="35">
        <v>36161</v>
      </c>
      <c r="O54" s="38"/>
      <c r="P54" s="38"/>
      <c r="Q54" s="38">
        <v>80.08</v>
      </c>
      <c r="R54" s="57">
        <v>0</v>
      </c>
      <c r="S54" s="57">
        <v>0</v>
      </c>
    </row>
    <row r="55" spans="1:19" ht="12.75" hidden="1">
      <c r="A55" s="35">
        <v>36192</v>
      </c>
      <c r="B55" s="21" t="s">
        <v>10</v>
      </c>
      <c r="C55" s="21"/>
      <c r="D55" s="36">
        <v>715</v>
      </c>
      <c r="E55" s="36"/>
      <c r="F55" s="37"/>
      <c r="G55" s="37"/>
      <c r="H55" s="37"/>
      <c r="I55" s="45">
        <f t="shared" si="3"/>
        <v>0</v>
      </c>
      <c r="J55" s="37"/>
      <c r="K55" s="37"/>
      <c r="L55" s="37"/>
      <c r="M55" s="38">
        <v>78.65</v>
      </c>
      <c r="N55" s="35">
        <v>36192</v>
      </c>
      <c r="O55" s="38"/>
      <c r="P55" s="38"/>
      <c r="Q55" s="38">
        <v>80.08</v>
      </c>
      <c r="R55" s="57">
        <v>0</v>
      </c>
      <c r="S55" s="57">
        <v>0</v>
      </c>
    </row>
    <row r="56" spans="1:19" ht="12.75" hidden="1">
      <c r="A56" s="35">
        <v>36220</v>
      </c>
      <c r="B56" s="21" t="s">
        <v>10</v>
      </c>
      <c r="C56" s="21"/>
      <c r="D56" s="36">
        <v>715</v>
      </c>
      <c r="E56" s="36"/>
      <c r="F56" s="37"/>
      <c r="G56" s="37"/>
      <c r="H56" s="37"/>
      <c r="I56" s="45">
        <f t="shared" si="3"/>
        <v>0</v>
      </c>
      <c r="J56" s="37"/>
      <c r="K56" s="37"/>
      <c r="L56" s="37"/>
      <c r="M56" s="38">
        <v>78.65</v>
      </c>
      <c r="N56" s="35">
        <v>36220</v>
      </c>
      <c r="O56" s="38"/>
      <c r="P56" s="38"/>
      <c r="Q56" s="38">
        <v>80.08</v>
      </c>
      <c r="R56" s="57">
        <v>0</v>
      </c>
      <c r="S56" s="57">
        <v>0</v>
      </c>
    </row>
    <row r="57" spans="1:19" ht="12.75" hidden="1">
      <c r="A57" s="35">
        <v>36251</v>
      </c>
      <c r="B57" s="21" t="s">
        <v>10</v>
      </c>
      <c r="C57" s="21"/>
      <c r="D57" s="36">
        <v>715</v>
      </c>
      <c r="E57" s="36"/>
      <c r="F57" s="37"/>
      <c r="G57" s="37"/>
      <c r="H57" s="37"/>
      <c r="I57" s="45">
        <f t="shared" si="3"/>
        <v>0</v>
      </c>
      <c r="J57" s="37"/>
      <c r="K57" s="37"/>
      <c r="L57" s="37"/>
      <c r="M57" s="38">
        <v>78.65</v>
      </c>
      <c r="N57" s="35">
        <v>36251</v>
      </c>
      <c r="O57" s="38"/>
      <c r="P57" s="38"/>
      <c r="Q57" s="38">
        <v>80.08</v>
      </c>
      <c r="R57" s="57">
        <v>0</v>
      </c>
      <c r="S57" s="57">
        <v>0</v>
      </c>
    </row>
    <row r="58" spans="1:19" ht="12.75" hidden="1">
      <c r="A58" s="35">
        <v>36281</v>
      </c>
      <c r="B58" s="21" t="s">
        <v>10</v>
      </c>
      <c r="C58" s="21"/>
      <c r="D58" s="36">
        <v>748</v>
      </c>
      <c r="E58" s="36"/>
      <c r="F58" s="37"/>
      <c r="G58" s="37"/>
      <c r="H58" s="37"/>
      <c r="I58" s="45">
        <f t="shared" si="3"/>
        <v>0</v>
      </c>
      <c r="J58" s="37"/>
      <c r="K58" s="37"/>
      <c r="L58" s="37"/>
      <c r="M58" s="38">
        <v>78.65</v>
      </c>
      <c r="N58" s="35">
        <v>36281</v>
      </c>
      <c r="O58" s="38"/>
      <c r="P58" s="38"/>
      <c r="Q58" s="38">
        <v>83.77</v>
      </c>
      <c r="R58" s="57">
        <v>0</v>
      </c>
      <c r="S58" s="57">
        <v>0</v>
      </c>
    </row>
    <row r="59" spans="1:19" ht="12.75" hidden="1">
      <c r="A59" s="35">
        <v>36312</v>
      </c>
      <c r="B59" s="21" t="s">
        <v>10</v>
      </c>
      <c r="C59" s="21"/>
      <c r="D59" s="36">
        <v>748</v>
      </c>
      <c r="E59" s="36"/>
      <c r="F59" s="37"/>
      <c r="G59" s="37"/>
      <c r="H59" s="37"/>
      <c r="I59" s="45">
        <f t="shared" si="3"/>
        <v>0</v>
      </c>
      <c r="J59" s="37"/>
      <c r="K59" s="37"/>
      <c r="L59" s="37"/>
      <c r="M59" s="38">
        <v>78.65</v>
      </c>
      <c r="N59" s="35">
        <v>36312</v>
      </c>
      <c r="O59" s="38"/>
      <c r="P59" s="38"/>
      <c r="Q59" s="38">
        <v>83.77</v>
      </c>
      <c r="R59" s="57">
        <v>0</v>
      </c>
      <c r="S59" s="57">
        <v>0</v>
      </c>
    </row>
    <row r="60" spans="1:19" ht="12.75" hidden="1">
      <c r="A60" s="35">
        <v>36342</v>
      </c>
      <c r="B60" s="21" t="s">
        <v>10</v>
      </c>
      <c r="C60" s="21"/>
      <c r="D60" s="36">
        <v>748</v>
      </c>
      <c r="E60" s="36"/>
      <c r="F60" s="37"/>
      <c r="G60" s="37"/>
      <c r="H60" s="37"/>
      <c r="I60" s="45">
        <f t="shared" si="3"/>
        <v>0</v>
      </c>
      <c r="J60" s="37"/>
      <c r="K60" s="37"/>
      <c r="L60" s="37"/>
      <c r="M60" s="38">
        <v>78.65</v>
      </c>
      <c r="N60" s="35">
        <v>36342</v>
      </c>
      <c r="O60" s="38"/>
      <c r="P60" s="38"/>
      <c r="Q60" s="38">
        <v>83.77</v>
      </c>
      <c r="R60" s="57">
        <v>0</v>
      </c>
      <c r="S60" s="57">
        <v>0</v>
      </c>
    </row>
    <row r="61" spans="1:19" ht="12.75" hidden="1">
      <c r="A61" s="35">
        <v>36373</v>
      </c>
      <c r="B61" s="21" t="s">
        <v>10</v>
      </c>
      <c r="C61" s="21"/>
      <c r="D61" s="36">
        <v>748</v>
      </c>
      <c r="E61" s="36"/>
      <c r="F61" s="37"/>
      <c r="G61" s="37"/>
      <c r="H61" s="37"/>
      <c r="I61" s="45">
        <f t="shared" si="3"/>
        <v>0</v>
      </c>
      <c r="J61" s="37"/>
      <c r="K61" s="37"/>
      <c r="L61" s="37"/>
      <c r="M61" s="38">
        <v>78.65</v>
      </c>
      <c r="N61" s="35">
        <v>36373</v>
      </c>
      <c r="O61" s="38"/>
      <c r="P61" s="38"/>
      <c r="Q61" s="38">
        <v>83.77</v>
      </c>
      <c r="R61" s="57">
        <v>0</v>
      </c>
      <c r="S61" s="57">
        <v>0</v>
      </c>
    </row>
    <row r="62" spans="1:19" ht="12.75" hidden="1">
      <c r="A62" s="35">
        <v>36404</v>
      </c>
      <c r="B62" s="21" t="s">
        <v>10</v>
      </c>
      <c r="C62" s="21"/>
      <c r="D62" s="36">
        <v>748</v>
      </c>
      <c r="E62" s="36"/>
      <c r="F62" s="37"/>
      <c r="G62" s="37"/>
      <c r="H62" s="37"/>
      <c r="I62" s="45">
        <f t="shared" si="3"/>
        <v>0</v>
      </c>
      <c r="J62" s="37"/>
      <c r="K62" s="37"/>
      <c r="L62" s="37"/>
      <c r="M62" s="38">
        <v>78.65</v>
      </c>
      <c r="N62" s="35">
        <v>36404</v>
      </c>
      <c r="O62" s="38"/>
      <c r="P62" s="38"/>
      <c r="Q62" s="38">
        <v>83.77</v>
      </c>
      <c r="R62" s="57">
        <v>0</v>
      </c>
      <c r="S62" s="57">
        <v>0</v>
      </c>
    </row>
    <row r="63" spans="1:19" ht="12.75" hidden="1">
      <c r="A63" s="35">
        <v>36434</v>
      </c>
      <c r="B63" s="21" t="s">
        <v>10</v>
      </c>
      <c r="C63" s="21"/>
      <c r="D63" s="36">
        <v>748</v>
      </c>
      <c r="E63" s="36"/>
      <c r="F63" s="37"/>
      <c r="G63" s="37"/>
      <c r="H63" s="37"/>
      <c r="I63" s="45">
        <f t="shared" si="3"/>
        <v>0</v>
      </c>
      <c r="J63" s="37"/>
      <c r="K63" s="37"/>
      <c r="L63" s="37"/>
      <c r="M63" s="38">
        <v>78.65</v>
      </c>
      <c r="N63" s="35">
        <v>36434</v>
      </c>
      <c r="O63" s="38"/>
      <c r="P63" s="38"/>
      <c r="Q63" s="38">
        <v>83.77</v>
      </c>
      <c r="R63" s="57">
        <v>0</v>
      </c>
      <c r="S63" s="57">
        <v>0</v>
      </c>
    </row>
    <row r="64" spans="1:19" ht="12.75" hidden="1">
      <c r="A64" s="35">
        <v>36465</v>
      </c>
      <c r="B64" s="21" t="s">
        <v>10</v>
      </c>
      <c r="C64" s="21"/>
      <c r="D64" s="36">
        <v>748</v>
      </c>
      <c r="E64" s="36"/>
      <c r="F64" s="37"/>
      <c r="G64" s="37"/>
      <c r="H64" s="37"/>
      <c r="I64" s="45">
        <f t="shared" si="3"/>
        <v>0</v>
      </c>
      <c r="J64" s="37"/>
      <c r="K64" s="37"/>
      <c r="L64" s="37"/>
      <c r="M64" s="38">
        <v>78.65</v>
      </c>
      <c r="N64" s="35">
        <v>36465</v>
      </c>
      <c r="O64" s="38"/>
      <c r="P64" s="38"/>
      <c r="Q64" s="38">
        <v>83.77</v>
      </c>
      <c r="R64" s="57">
        <v>0</v>
      </c>
      <c r="S64" s="57">
        <v>0</v>
      </c>
    </row>
    <row r="65" spans="1:19" ht="12.75" hidden="1">
      <c r="A65" s="35">
        <v>36495</v>
      </c>
      <c r="B65" s="21" t="s">
        <v>10</v>
      </c>
      <c r="C65" s="21"/>
      <c r="D65" s="36">
        <v>748</v>
      </c>
      <c r="E65" s="36"/>
      <c r="F65" s="37"/>
      <c r="G65" s="37"/>
      <c r="H65" s="37"/>
      <c r="I65" s="45">
        <f t="shared" si="3"/>
        <v>0</v>
      </c>
      <c r="J65" s="37"/>
      <c r="K65" s="37"/>
      <c r="L65" s="37"/>
      <c r="M65" s="38">
        <v>78.65</v>
      </c>
      <c r="N65" s="35">
        <v>36495</v>
      </c>
      <c r="O65" s="38"/>
      <c r="P65" s="38"/>
      <c r="Q65" s="38">
        <v>83.77</v>
      </c>
      <c r="R65" s="57">
        <v>0</v>
      </c>
      <c r="S65" s="57">
        <v>0</v>
      </c>
    </row>
    <row r="66" spans="1:19" ht="12.75" hidden="1">
      <c r="A66" s="21" t="s">
        <v>11</v>
      </c>
      <c r="B66" s="21" t="s">
        <v>10</v>
      </c>
      <c r="C66" s="21"/>
      <c r="D66" s="40"/>
      <c r="E66" s="40"/>
      <c r="F66" s="36">
        <v>748</v>
      </c>
      <c r="G66" s="36"/>
      <c r="H66" s="36"/>
      <c r="I66" s="45">
        <f t="shared" si="3"/>
        <v>0</v>
      </c>
      <c r="J66" s="36"/>
      <c r="K66" s="37"/>
      <c r="L66" s="37"/>
      <c r="M66" s="38">
        <v>78.65</v>
      </c>
      <c r="N66" s="21" t="s">
        <v>11</v>
      </c>
      <c r="O66" s="38">
        <v>669.35</v>
      </c>
      <c r="P66" s="38"/>
      <c r="Q66" s="38">
        <v>83.77</v>
      </c>
      <c r="R66" s="57">
        <v>0</v>
      </c>
      <c r="S66" s="57">
        <v>0</v>
      </c>
    </row>
    <row r="67" spans="1:19" ht="12.75" hidden="1">
      <c r="A67" s="35">
        <v>36526</v>
      </c>
      <c r="B67" s="21" t="s">
        <v>10</v>
      </c>
      <c r="C67" s="21"/>
      <c r="D67" s="36">
        <v>748</v>
      </c>
      <c r="E67" s="36"/>
      <c r="F67" s="37"/>
      <c r="G67" s="37"/>
      <c r="H67" s="37"/>
      <c r="I67" s="45">
        <f t="shared" si="3"/>
        <v>0</v>
      </c>
      <c r="J67" s="37"/>
      <c r="K67" s="37"/>
      <c r="L67" s="37"/>
      <c r="M67" s="38">
        <v>82.28</v>
      </c>
      <c r="N67" s="35">
        <v>36526</v>
      </c>
      <c r="O67" s="38"/>
      <c r="P67" s="38"/>
      <c r="Q67" s="38">
        <v>83.77</v>
      </c>
      <c r="R67" s="57">
        <v>0</v>
      </c>
      <c r="S67" s="57">
        <v>0</v>
      </c>
    </row>
    <row r="68" spans="1:19" ht="12.75" hidden="1">
      <c r="A68" s="35">
        <v>36557</v>
      </c>
      <c r="B68" s="21" t="s">
        <v>10</v>
      </c>
      <c r="C68" s="21"/>
      <c r="D68" s="36">
        <v>748</v>
      </c>
      <c r="E68" s="36"/>
      <c r="F68" s="37"/>
      <c r="G68" s="37"/>
      <c r="H68" s="37"/>
      <c r="I68" s="45">
        <f t="shared" si="3"/>
        <v>0</v>
      </c>
      <c r="J68" s="37"/>
      <c r="K68" s="37"/>
      <c r="L68" s="37"/>
      <c r="M68" s="38">
        <v>82.28</v>
      </c>
      <c r="N68" s="35">
        <v>36557</v>
      </c>
      <c r="O68" s="38"/>
      <c r="P68" s="38"/>
      <c r="Q68" s="38">
        <v>83.77</v>
      </c>
      <c r="R68" s="57">
        <v>0</v>
      </c>
      <c r="S68" s="57">
        <v>0</v>
      </c>
    </row>
    <row r="69" spans="1:19" ht="12.75" hidden="1">
      <c r="A69" s="35">
        <v>36586</v>
      </c>
      <c r="B69" s="21" t="s">
        <v>10</v>
      </c>
      <c r="C69" s="21"/>
      <c r="D69" s="36">
        <v>748</v>
      </c>
      <c r="E69" s="36"/>
      <c r="F69" s="37"/>
      <c r="G69" s="37"/>
      <c r="H69" s="37"/>
      <c r="I69" s="45">
        <f t="shared" si="3"/>
        <v>0</v>
      </c>
      <c r="J69" s="37"/>
      <c r="K69" s="37"/>
      <c r="L69" s="37"/>
      <c r="M69" s="38">
        <v>82.28</v>
      </c>
      <c r="N69" s="35">
        <v>36586</v>
      </c>
      <c r="O69" s="38"/>
      <c r="P69" s="38"/>
      <c r="Q69" s="38">
        <v>83.77</v>
      </c>
      <c r="R69" s="57">
        <v>0</v>
      </c>
      <c r="S69" s="57">
        <v>0</v>
      </c>
    </row>
    <row r="70" spans="1:19" ht="12.75" hidden="1">
      <c r="A70" s="35">
        <v>36617</v>
      </c>
      <c r="B70" s="21" t="s">
        <v>10</v>
      </c>
      <c r="C70" s="21"/>
      <c r="D70" s="36">
        <v>830.5</v>
      </c>
      <c r="E70" s="36"/>
      <c r="F70" s="37"/>
      <c r="G70" s="37"/>
      <c r="H70" s="37"/>
      <c r="I70" s="45">
        <f t="shared" si="3"/>
        <v>0</v>
      </c>
      <c r="J70" s="37"/>
      <c r="K70" s="37"/>
      <c r="L70" s="37"/>
      <c r="M70" s="38">
        <v>91.35</v>
      </c>
      <c r="N70" s="35">
        <v>36617</v>
      </c>
      <c r="O70" s="38"/>
      <c r="P70" s="38"/>
      <c r="Q70" s="38">
        <v>93.01</v>
      </c>
      <c r="R70" s="57">
        <v>0</v>
      </c>
      <c r="S70" s="57">
        <v>0</v>
      </c>
    </row>
    <row r="71" spans="1:19" ht="12.75" hidden="1">
      <c r="A71" s="35">
        <v>36647</v>
      </c>
      <c r="B71" s="21" t="s">
        <v>10</v>
      </c>
      <c r="C71" s="21"/>
      <c r="D71" s="36">
        <v>415.25</v>
      </c>
      <c r="E71" s="36"/>
      <c r="F71" s="37"/>
      <c r="G71" s="37"/>
      <c r="H71" s="37"/>
      <c r="I71" s="45">
        <f t="shared" si="3"/>
        <v>0</v>
      </c>
      <c r="J71" s="37"/>
      <c r="K71" s="37"/>
      <c r="L71" s="37"/>
      <c r="M71" s="38">
        <v>35.92</v>
      </c>
      <c r="N71" s="35">
        <v>36647</v>
      </c>
      <c r="O71" s="38"/>
      <c r="P71" s="38"/>
      <c r="Q71" s="38">
        <v>46.5</v>
      </c>
      <c r="R71" s="57">
        <v>0</v>
      </c>
      <c r="S71" s="57">
        <v>0</v>
      </c>
    </row>
    <row r="72" spans="1:19" ht="12.75">
      <c r="A72" s="21" t="s">
        <v>13</v>
      </c>
      <c r="B72" s="30"/>
      <c r="C72" s="30"/>
      <c r="D72" s="55"/>
      <c r="E72" s="55"/>
      <c r="F72" s="56"/>
      <c r="G72" s="56"/>
      <c r="H72" s="56"/>
      <c r="I72" s="56"/>
      <c r="J72" s="56"/>
      <c r="K72" s="53">
        <f>SUM(K39:K51)</f>
        <v>1783.9233490303293</v>
      </c>
      <c r="L72" s="56"/>
      <c r="M72" s="53">
        <f aca="true" t="shared" si="15" ref="M72:S72">SUM(M39:M51)</f>
        <v>142.71386792242632</v>
      </c>
      <c r="N72" s="21" t="s">
        <v>13</v>
      </c>
      <c r="O72" s="53">
        <f t="shared" si="15"/>
        <v>1641.209481107902</v>
      </c>
      <c r="P72" s="53">
        <f t="shared" si="15"/>
        <v>3529.791844849966</v>
      </c>
      <c r="Q72" s="53">
        <f t="shared" si="15"/>
        <v>282.3833475879972</v>
      </c>
      <c r="R72" s="53">
        <f t="shared" si="15"/>
        <v>0</v>
      </c>
      <c r="S72" s="53">
        <f t="shared" si="15"/>
        <v>1923.5928286958992</v>
      </c>
    </row>
  </sheetData>
  <printOptions/>
  <pageMargins left="0.75" right="0.75" top="1" bottom="1" header="0.492125985" footer="0.49212598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0" sqref="E10"/>
    </sheetView>
  </sheetViews>
  <sheetFormatPr defaultColWidth="9.140625" defaultRowHeight="12.75"/>
  <cols>
    <col min="6" max="6" width="19.28125" style="0" customWidth="1"/>
  </cols>
  <sheetData>
    <row r="1" spans="1:6" ht="18">
      <c r="A1" s="59" t="s">
        <v>53</v>
      </c>
      <c r="B1" s="60"/>
      <c r="C1" s="60"/>
      <c r="D1" s="60"/>
      <c r="E1" s="60"/>
      <c r="F1" s="61"/>
    </row>
    <row r="2" spans="1:6" ht="18">
      <c r="A2" s="62" t="s">
        <v>54</v>
      </c>
      <c r="B2" s="63"/>
      <c r="C2" s="63"/>
      <c r="D2" s="63"/>
      <c r="E2" s="63"/>
      <c r="F2" s="64"/>
    </row>
    <row r="3" spans="1:6" ht="18.75" thickBot="1">
      <c r="A3" s="65" t="s">
        <v>55</v>
      </c>
      <c r="B3" s="66"/>
      <c r="C3" s="66"/>
      <c r="D3" s="66"/>
      <c r="E3" s="66"/>
      <c r="F3" s="67"/>
    </row>
    <row r="4" spans="1:6" ht="13.5" thickBot="1">
      <c r="A4" s="124" t="s">
        <v>20</v>
      </c>
      <c r="B4" s="125"/>
      <c r="C4" s="125"/>
      <c r="D4" s="125"/>
      <c r="E4" s="125"/>
      <c r="F4" s="126"/>
    </row>
    <row r="5" spans="1:6" ht="12.75">
      <c r="A5" s="7" t="s">
        <v>20</v>
      </c>
      <c r="B5" s="16"/>
      <c r="C5" s="16"/>
      <c r="D5" s="16"/>
      <c r="E5" s="16"/>
      <c r="F5" s="17"/>
    </row>
    <row r="6" spans="1:6" ht="13.5" thickBot="1">
      <c r="A6" s="79"/>
      <c r="B6" s="4"/>
      <c r="C6" s="4"/>
      <c r="D6" s="4"/>
      <c r="E6" s="4"/>
      <c r="F6" s="18"/>
    </row>
    <row r="7" spans="1:6" ht="18.75" thickBot="1">
      <c r="A7" s="127"/>
      <c r="B7" s="128" t="s">
        <v>88</v>
      </c>
      <c r="C7" s="111"/>
      <c r="D7" s="111"/>
      <c r="E7" s="111"/>
      <c r="F7" s="129"/>
    </row>
    <row r="8" spans="1:6" ht="12.75">
      <c r="A8" s="79"/>
      <c r="B8" s="4"/>
      <c r="C8" s="4"/>
      <c r="D8" s="4"/>
      <c r="E8" s="4"/>
      <c r="F8" s="18"/>
    </row>
    <row r="9" spans="1:6" ht="12.75">
      <c r="A9" s="79"/>
      <c r="B9" s="4"/>
      <c r="C9" s="4"/>
      <c r="D9" s="4"/>
      <c r="E9" s="4"/>
      <c r="F9" s="18"/>
    </row>
    <row r="10" spans="1:6" ht="15.75">
      <c r="A10" s="10" t="s">
        <v>89</v>
      </c>
      <c r="B10" s="4"/>
      <c r="C10" s="4"/>
      <c r="D10" s="4"/>
      <c r="E10" s="130" t="s">
        <v>10</v>
      </c>
      <c r="F10" s="131">
        <f>'[1]Correção Par. Não Tributáveis'!F23+'[1]Correção  Parcelas Tributáveis'!F26</f>
        <v>14522.682646552665</v>
      </c>
    </row>
    <row r="11" spans="1:6" ht="16.5" thickBot="1">
      <c r="A11" s="10" t="s">
        <v>90</v>
      </c>
      <c r="B11" s="4"/>
      <c r="C11" s="4"/>
      <c r="D11" s="4"/>
      <c r="E11" s="130"/>
      <c r="F11" s="131">
        <f>F10/'[1]Verbas Resilitórias'!F39</f>
        <v>1280430.6324840144</v>
      </c>
    </row>
    <row r="12" spans="1:6" ht="16.5" thickBot="1">
      <c r="A12" s="124"/>
      <c r="B12" s="125"/>
      <c r="C12" s="125"/>
      <c r="D12" s="125"/>
      <c r="E12" s="132" t="s">
        <v>20</v>
      </c>
      <c r="F12" s="126"/>
    </row>
    <row r="13" spans="1:6" ht="15.75">
      <c r="A13" s="10" t="s">
        <v>91</v>
      </c>
      <c r="B13" s="4"/>
      <c r="C13" s="4"/>
      <c r="D13" s="4"/>
      <c r="E13" s="130" t="s">
        <v>10</v>
      </c>
      <c r="F13" s="131">
        <f>'[1]Correção  Parcelas Tributáveis'!F25</f>
        <v>1112.9757989289997</v>
      </c>
    </row>
    <row r="14" spans="1:6" ht="16.5" thickBot="1">
      <c r="A14" s="10" t="s">
        <v>90</v>
      </c>
      <c r="B14" s="4"/>
      <c r="C14" s="4"/>
      <c r="D14" s="4"/>
      <c r="E14" s="130"/>
      <c r="F14" s="131">
        <f>'[1]Correção  Parcelas Tributáveis'!F28</f>
        <v>98117.80730839279</v>
      </c>
    </row>
    <row r="15" spans="1:6" ht="16.5" thickBot="1">
      <c r="A15" s="124"/>
      <c r="B15" s="125"/>
      <c r="C15" s="125"/>
      <c r="D15" s="125"/>
      <c r="E15" s="132"/>
      <c r="F15" s="133"/>
    </row>
    <row r="16" spans="1:6" ht="15.75">
      <c r="A16" s="10" t="s">
        <v>92</v>
      </c>
      <c r="B16" s="4"/>
      <c r="C16" s="4"/>
      <c r="D16" s="4"/>
      <c r="E16" s="130" t="s">
        <v>10</v>
      </c>
      <c r="F16" s="131">
        <f>'[1]INSS'!AA21</f>
        <v>4094.12867136</v>
      </c>
    </row>
    <row r="17" spans="1:6" ht="16.5" thickBot="1">
      <c r="A17" s="10" t="s">
        <v>90</v>
      </c>
      <c r="B17" s="4"/>
      <c r="C17" s="4"/>
      <c r="D17" s="4"/>
      <c r="E17" s="130"/>
      <c r="F17" s="131">
        <f>F16/'[1]Verbas Resilitórias'!F39</f>
        <v>360969.65634546906</v>
      </c>
    </row>
    <row r="18" spans="1:6" ht="16.5" thickBot="1">
      <c r="A18" s="124"/>
      <c r="B18" s="125"/>
      <c r="C18" s="125"/>
      <c r="D18" s="125"/>
      <c r="E18" s="132"/>
      <c r="F18" s="133"/>
    </row>
    <row r="19" spans="1:6" ht="16.5" thickBot="1">
      <c r="A19" s="124"/>
      <c r="B19" s="125"/>
      <c r="C19" s="125"/>
      <c r="D19" s="125"/>
      <c r="E19" s="132"/>
      <c r="F19" s="133"/>
    </row>
    <row r="20" spans="1:6" ht="18">
      <c r="A20" s="134" t="s">
        <v>93</v>
      </c>
      <c r="B20" s="135"/>
      <c r="C20" s="135"/>
      <c r="D20" s="135"/>
      <c r="E20" s="136" t="s">
        <v>10</v>
      </c>
      <c r="F20" s="137">
        <f>F10+F13+F16</f>
        <v>19729.787116841664</v>
      </c>
    </row>
    <row r="21" spans="1:6" ht="18.75" thickBot="1">
      <c r="A21" s="134" t="s">
        <v>90</v>
      </c>
      <c r="B21" s="135"/>
      <c r="C21" s="135"/>
      <c r="D21" s="135"/>
      <c r="E21" s="135"/>
      <c r="F21" s="137">
        <f>F11+F14+F17</f>
        <v>1739518.0961378762</v>
      </c>
    </row>
    <row r="22" spans="1:6" ht="13.5" thickBot="1">
      <c r="A22" s="124"/>
      <c r="B22" s="125"/>
      <c r="C22" s="125"/>
      <c r="D22" s="125"/>
      <c r="E22" s="125"/>
      <c r="F22" s="126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4" sqref="E24"/>
    </sheetView>
  </sheetViews>
  <sheetFormatPr defaultColWidth="9.140625" defaultRowHeight="12.75"/>
  <cols>
    <col min="5" max="5" width="10.7109375" style="0" customWidth="1"/>
    <col min="6" max="6" width="11.7109375" style="0" customWidth="1"/>
  </cols>
  <sheetData>
    <row r="1" spans="1:6" ht="12.75">
      <c r="A1" s="112" t="s">
        <v>53</v>
      </c>
      <c r="B1" s="113"/>
      <c r="C1" s="37"/>
      <c r="D1" s="37"/>
      <c r="E1" s="37"/>
      <c r="F1" s="37"/>
    </row>
    <row r="2" spans="1:6" ht="12.75">
      <c r="A2" s="112" t="s">
        <v>54</v>
      </c>
      <c r="B2" s="113"/>
      <c r="C2" s="37"/>
      <c r="D2" s="37"/>
      <c r="E2" s="37"/>
      <c r="F2" s="37"/>
    </row>
    <row r="3" spans="1:6" ht="12.75">
      <c r="A3" s="112" t="s">
        <v>55</v>
      </c>
      <c r="B3" s="113"/>
      <c r="C3" s="37"/>
      <c r="D3" s="37"/>
      <c r="E3" s="37"/>
      <c r="F3" s="37"/>
    </row>
    <row r="4" spans="1:6" ht="12.75">
      <c r="A4" s="114"/>
      <c r="B4" s="114"/>
      <c r="C4" s="114"/>
      <c r="D4" s="114"/>
      <c r="E4" s="114"/>
      <c r="F4" s="114"/>
    </row>
    <row r="5" spans="1:6" ht="12.75">
      <c r="A5" s="21" t="s">
        <v>26</v>
      </c>
      <c r="B5" s="21" t="s">
        <v>29</v>
      </c>
      <c r="C5" s="21" t="s">
        <v>76</v>
      </c>
      <c r="D5" s="21" t="s">
        <v>28</v>
      </c>
      <c r="E5" s="21" t="s">
        <v>77</v>
      </c>
      <c r="F5" s="21" t="s">
        <v>29</v>
      </c>
    </row>
    <row r="6" spans="1:6" ht="12.75">
      <c r="A6" s="21" t="s">
        <v>30</v>
      </c>
      <c r="B6" s="21" t="s">
        <v>12</v>
      </c>
      <c r="C6" s="21" t="s">
        <v>78</v>
      </c>
      <c r="D6" s="21" t="s">
        <v>33</v>
      </c>
      <c r="E6" s="21" t="s">
        <v>79</v>
      </c>
      <c r="F6" s="21" t="s">
        <v>80</v>
      </c>
    </row>
    <row r="7" spans="1:6" ht="12.75">
      <c r="A7" s="115">
        <v>37719</v>
      </c>
      <c r="B7" s="117">
        <f>'[1]VALORES DEVIDIDOS MÊS A MÊS'!K7</f>
        <v>80.3712</v>
      </c>
      <c r="C7" s="117" t="str">
        <f>'[1]Plan1'!C214</f>
        <v>1,0750</v>
      </c>
      <c r="D7" s="117">
        <f>B7*C7</f>
        <v>86.39904</v>
      </c>
      <c r="E7" s="117">
        <f>D7*0.1533</f>
        <v>13.244972831999998</v>
      </c>
      <c r="F7" s="52">
        <f>D7+E7</f>
        <v>99.644012832</v>
      </c>
    </row>
    <row r="8" spans="1:6" ht="12.75">
      <c r="A8" s="118">
        <v>37742</v>
      </c>
      <c r="B8" s="117">
        <f>'[1]VALORES DEVIDIDOS MÊS A MÊS'!K8</f>
        <v>104.83200000000001</v>
      </c>
      <c r="C8" s="117" t="str">
        <f>'[1]Plan1'!C215</f>
        <v>1,0705</v>
      </c>
      <c r="D8" s="117">
        <f aca="true" t="shared" si="0" ref="D8:D20">B8*C8</f>
        <v>112.22265600000001</v>
      </c>
      <c r="E8" s="117">
        <f aca="true" t="shared" si="1" ref="E8:E20">D8*0.1533</f>
        <v>17.203733164800003</v>
      </c>
      <c r="F8" s="52">
        <f aca="true" t="shared" si="2" ref="F8:F20">D8+E8</f>
        <v>129.4263891648</v>
      </c>
    </row>
    <row r="9" spans="1:6" ht="12.75">
      <c r="A9" s="118">
        <v>37773</v>
      </c>
      <c r="B9" s="117">
        <f>'[1]VALORES DEVIDIDOS MÊS A MÊS'!K9</f>
        <v>104.83200000000001</v>
      </c>
      <c r="C9" s="117" t="str">
        <f>'[1]Plan1'!C216</f>
        <v>1,0655</v>
      </c>
      <c r="D9" s="117">
        <f t="shared" si="0"/>
        <v>111.69849599999999</v>
      </c>
      <c r="E9" s="117">
        <f t="shared" si="1"/>
        <v>17.123379436799997</v>
      </c>
      <c r="F9" s="52">
        <f t="shared" si="2"/>
        <v>128.82187543679998</v>
      </c>
    </row>
    <row r="10" spans="1:6" ht="12.75">
      <c r="A10" s="118">
        <v>37803</v>
      </c>
      <c r="B10" s="117">
        <f>'[1]VALORES DEVIDIDOS MÊS A MÊS'!K10</f>
        <v>104.83200000000001</v>
      </c>
      <c r="C10" s="117" t="str">
        <f>'[1]Plan1'!C217</f>
        <v>1,0611</v>
      </c>
      <c r="D10" s="117">
        <f t="shared" si="0"/>
        <v>111.2372352</v>
      </c>
      <c r="E10" s="117">
        <f t="shared" si="1"/>
        <v>17.05266815616</v>
      </c>
      <c r="F10" s="52">
        <f t="shared" si="2"/>
        <v>128.28990335616</v>
      </c>
    </row>
    <row r="11" spans="1:6" ht="12.75">
      <c r="A11" s="118">
        <v>37834</v>
      </c>
      <c r="B11" s="117">
        <f>'[1]VALORES DEVIDIDOS MÊS A MÊS'!K11</f>
        <v>104.83200000000001</v>
      </c>
      <c r="C11" s="117" t="str">
        <f>'[1]Plan1'!C218</f>
        <v>1,0554</v>
      </c>
      <c r="D11" s="117">
        <f t="shared" si="0"/>
        <v>110.63969279999999</v>
      </c>
      <c r="E11" s="117">
        <f t="shared" si="1"/>
        <v>16.961064906239997</v>
      </c>
      <c r="F11" s="52">
        <f t="shared" si="2"/>
        <v>127.60075770623999</v>
      </c>
    </row>
    <row r="12" spans="1:6" ht="12.75">
      <c r="A12" s="118">
        <v>37865</v>
      </c>
      <c r="B12" s="117">
        <f>'[1]VALORES DEVIDIDOS MÊS A MÊS'!K12</f>
        <v>104.83200000000001</v>
      </c>
      <c r="C12" s="117" t="str">
        <f>'[1]Plan1'!C219</f>
        <v>1,0511</v>
      </c>
      <c r="D12" s="117">
        <f t="shared" si="0"/>
        <v>110.1889152</v>
      </c>
      <c r="E12" s="117">
        <f t="shared" si="1"/>
        <v>16.89196070016</v>
      </c>
      <c r="F12" s="52">
        <f t="shared" si="2"/>
        <v>127.08087590016</v>
      </c>
    </row>
    <row r="13" spans="1:6" ht="12.75">
      <c r="A13" s="118">
        <v>37895</v>
      </c>
      <c r="B13" s="117">
        <f>'[1]VALORES DEVIDIDOS MÊS A MÊS'!K13</f>
        <v>104.83200000000001</v>
      </c>
      <c r="C13" s="117" t="str">
        <f>'[1]Plan1'!C220</f>
        <v>1,0476</v>
      </c>
      <c r="D13" s="117">
        <f t="shared" si="0"/>
        <v>109.82200320000001</v>
      </c>
      <c r="E13" s="117">
        <f t="shared" si="1"/>
        <v>16.835713090560002</v>
      </c>
      <c r="F13" s="52">
        <f t="shared" si="2"/>
        <v>126.65771629056002</v>
      </c>
    </row>
    <row r="14" spans="1:6" ht="12.75">
      <c r="A14" s="118">
        <v>37926</v>
      </c>
      <c r="B14" s="117">
        <f>'[1]VALORES DEVIDIDOS MÊS A MÊS'!K14</f>
        <v>104.83200000000001</v>
      </c>
      <c r="C14" s="117" t="str">
        <f>'[1]Plan1'!C221</f>
        <v>1,0442</v>
      </c>
      <c r="D14" s="117">
        <f t="shared" si="0"/>
        <v>109.46557440000001</v>
      </c>
      <c r="E14" s="117">
        <f t="shared" si="1"/>
        <v>16.78107255552</v>
      </c>
      <c r="F14" s="52">
        <f t="shared" si="2"/>
        <v>126.24664695552</v>
      </c>
    </row>
    <row r="15" spans="1:6" ht="12.75">
      <c r="A15" s="118">
        <v>37956</v>
      </c>
      <c r="B15" s="117">
        <f>'[1]VALORES DEVIDIDOS MÊS A MÊS'!K15</f>
        <v>183.45600000000002</v>
      </c>
      <c r="C15" s="117" t="str">
        <f>'[1]Plan1'!C222</f>
        <v>1,0424</v>
      </c>
      <c r="D15" s="117">
        <f t="shared" si="0"/>
        <v>191.23453440000003</v>
      </c>
      <c r="E15" s="117">
        <f t="shared" si="1"/>
        <v>29.316254123520004</v>
      </c>
      <c r="F15" s="52">
        <f t="shared" si="2"/>
        <v>220.55078852352003</v>
      </c>
    </row>
    <row r="16" spans="1:6" ht="12.75">
      <c r="A16" s="118">
        <v>37987</v>
      </c>
      <c r="B16" s="117">
        <f>'[1]VALORES DEVIDIDOS MÊS A MÊS'!K16</f>
        <v>104.83200000000001</v>
      </c>
      <c r="C16" s="117" t="str">
        <f>'[1]Plan1'!C223</f>
        <v>1,0405</v>
      </c>
      <c r="D16" s="117">
        <f t="shared" si="0"/>
        <v>109.077696</v>
      </c>
      <c r="E16" s="117">
        <f t="shared" si="1"/>
        <v>16.7216107968</v>
      </c>
      <c r="F16" s="52">
        <f t="shared" si="2"/>
        <v>125.79930679680001</v>
      </c>
    </row>
    <row r="17" spans="1:6" ht="12.75">
      <c r="A17" s="118">
        <v>38018</v>
      </c>
      <c r="B17" s="117">
        <f>'[1]VALORES DEVIDIDOS MÊS A MÊS'!K17</f>
        <v>104.83200000000001</v>
      </c>
      <c r="C17" s="117" t="str">
        <f>'[1]Plan1'!C224</f>
        <v>1,0392</v>
      </c>
      <c r="D17" s="117">
        <f t="shared" si="0"/>
        <v>108.9414144</v>
      </c>
      <c r="E17" s="117">
        <f t="shared" si="1"/>
        <v>16.70071882752</v>
      </c>
      <c r="F17" s="52">
        <f t="shared" si="2"/>
        <v>125.64213322751999</v>
      </c>
    </row>
    <row r="18" spans="1:6" ht="12.75">
      <c r="A18" s="118">
        <v>38047</v>
      </c>
      <c r="B18" s="117">
        <f>'[1]VALORES DEVIDIDOS MÊS A MÊS'!K18</f>
        <v>104.83200000000001</v>
      </c>
      <c r="C18" s="117" t="str">
        <f>'[1]Plan1'!C225</f>
        <v>1,0386</v>
      </c>
      <c r="D18" s="117">
        <f t="shared" si="0"/>
        <v>108.87851520000001</v>
      </c>
      <c r="E18" s="117">
        <f t="shared" si="1"/>
        <v>16.691076380160002</v>
      </c>
      <c r="F18" s="52">
        <f t="shared" si="2"/>
        <v>125.56959158016001</v>
      </c>
    </row>
    <row r="19" spans="1:6" ht="12.75">
      <c r="A19" s="115">
        <v>38096</v>
      </c>
      <c r="B19" s="117">
        <f>'[1]VALORES DEVIDIDOS MÊS A MÊS'!K19</f>
        <v>66.39359999999999</v>
      </c>
      <c r="C19" s="117" t="str">
        <f>'[1]Plan1'!C226</f>
        <v>1,0368</v>
      </c>
      <c r="D19" s="117">
        <f t="shared" si="0"/>
        <v>68.83688448</v>
      </c>
      <c r="E19" s="117">
        <f t="shared" si="1"/>
        <v>10.552694390783998</v>
      </c>
      <c r="F19" s="52">
        <f t="shared" si="2"/>
        <v>79.38957887078399</v>
      </c>
    </row>
    <row r="20" spans="1:6" ht="12.75">
      <c r="A20" s="118" t="s">
        <v>81</v>
      </c>
      <c r="B20" s="116">
        <f>'[1]Verbas Resilitórias'!F17+'[1]Verbas Resilitórias'!F18+'[1]Verbas Resilitórias'!F23+'[1]Verbas Resilitórias'!F24+'[1]Verbas Resilitórias'!F25+'[1]Verbas Resilitórias'!F26</f>
        <v>6879.0560000000005</v>
      </c>
      <c r="C20" s="117" t="str">
        <f>C19</f>
        <v>1,0368</v>
      </c>
      <c r="D20" s="117">
        <f t="shared" si="0"/>
        <v>7132.2052608</v>
      </c>
      <c r="E20" s="117">
        <f t="shared" si="1"/>
        <v>1093.36706648064</v>
      </c>
      <c r="F20" s="52">
        <f t="shared" si="2"/>
        <v>8225.57232728064</v>
      </c>
    </row>
    <row r="21" spans="1:6" ht="12.75">
      <c r="A21" s="119" t="s">
        <v>82</v>
      </c>
      <c r="B21" s="120">
        <f>SUM(B7:B20)</f>
        <v>8257.596800000001</v>
      </c>
      <c r="C21" s="121" t="s">
        <v>20</v>
      </c>
      <c r="D21" s="120">
        <f>SUM(D7:D20)</f>
        <v>8580.84791808</v>
      </c>
      <c r="E21" s="120">
        <f>SUM(E7:E20)</f>
        <v>1315.443985841664</v>
      </c>
      <c r="F21" s="120">
        <f>SUM(F7:F20)</f>
        <v>9896.291903921665</v>
      </c>
    </row>
    <row r="22" spans="1:6" ht="12.75">
      <c r="A22" s="122"/>
      <c r="B22" s="122"/>
      <c r="C22" s="121" t="s">
        <v>20</v>
      </c>
      <c r="D22" s="122"/>
      <c r="E22" s="122"/>
      <c r="F22" s="122"/>
    </row>
    <row r="23" spans="1:6" ht="12.75">
      <c r="A23" s="2" t="s">
        <v>114</v>
      </c>
      <c r="B23" s="2"/>
      <c r="C23" s="2"/>
      <c r="D23" s="2"/>
      <c r="E23" s="2"/>
      <c r="F23" s="5">
        <f>F21</f>
        <v>9896.291903921665</v>
      </c>
    </row>
    <row r="24" spans="1:6" ht="12.75">
      <c r="A24" s="2" t="s">
        <v>86</v>
      </c>
      <c r="B24" s="2"/>
      <c r="C24" s="2"/>
      <c r="D24" s="2"/>
      <c r="E24" s="40">
        <f>RESCISÃO!F35</f>
        <v>0.01137038</v>
      </c>
      <c r="F24" s="5">
        <f>F23/E24</f>
        <v>870357.1827785585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1">
      <selection activeCell="A27" sqref="A27"/>
    </sheetView>
  </sheetViews>
  <sheetFormatPr defaultColWidth="9.140625" defaultRowHeight="12.75"/>
  <cols>
    <col min="6" max="6" width="11.00390625" style="0" customWidth="1"/>
  </cols>
  <sheetData>
    <row r="1" spans="1:6" ht="12.75">
      <c r="A1" s="2" t="s">
        <v>15</v>
      </c>
      <c r="B1" s="113"/>
      <c r="C1" s="37"/>
      <c r="D1" s="37"/>
      <c r="E1" s="37"/>
      <c r="F1" s="37"/>
    </row>
    <row r="2" spans="1:6" ht="12.75">
      <c r="A2" s="40" t="s">
        <v>16</v>
      </c>
      <c r="B2" s="113"/>
      <c r="C2" s="37"/>
      <c r="D2" s="37"/>
      <c r="E2" s="37"/>
      <c r="F2" s="37"/>
    </row>
    <row r="3" spans="1:6" ht="12.75">
      <c r="A3" s="40" t="s">
        <v>17</v>
      </c>
      <c r="B3" s="113"/>
      <c r="C3" s="37"/>
      <c r="D3" s="37"/>
      <c r="E3" s="37"/>
      <c r="F3" s="37"/>
    </row>
    <row r="4" spans="1:6" ht="12.75">
      <c r="A4" s="114"/>
      <c r="B4" s="114"/>
      <c r="C4" s="114"/>
      <c r="D4" s="114"/>
      <c r="E4" s="114"/>
      <c r="F4" s="114"/>
    </row>
    <row r="5" spans="1:6" ht="12.75">
      <c r="A5" s="21" t="s">
        <v>26</v>
      </c>
      <c r="B5" s="21" t="s">
        <v>29</v>
      </c>
      <c r="C5" s="21" t="s">
        <v>76</v>
      </c>
      <c r="D5" s="21" t="s">
        <v>28</v>
      </c>
      <c r="E5" s="21" t="s">
        <v>77</v>
      </c>
      <c r="F5" s="21" t="s">
        <v>29</v>
      </c>
    </row>
    <row r="6" spans="1:6" ht="12.75">
      <c r="A6" s="21" t="s">
        <v>30</v>
      </c>
      <c r="B6" s="21" t="s">
        <v>12</v>
      </c>
      <c r="C6" s="21" t="s">
        <v>78</v>
      </c>
      <c r="D6" s="21" t="s">
        <v>33</v>
      </c>
      <c r="E6" s="21" t="s">
        <v>79</v>
      </c>
      <c r="F6" s="21" t="s">
        <v>80</v>
      </c>
    </row>
    <row r="7" spans="1:6" ht="12.75">
      <c r="A7" s="115">
        <v>37719</v>
      </c>
      <c r="B7" s="116">
        <f>'[1]VALORES DEVIDIDOS MÊS A MÊS'!H7</f>
        <v>0</v>
      </c>
      <c r="C7" s="117" t="str">
        <f>'[1]Plan1'!C214</f>
        <v>1,0750</v>
      </c>
      <c r="D7" s="117">
        <f>B7*C7</f>
        <v>0</v>
      </c>
      <c r="E7" s="117">
        <f>D7*0.1533</f>
        <v>0</v>
      </c>
      <c r="F7" s="52">
        <f>D7+E7</f>
        <v>0</v>
      </c>
    </row>
    <row r="8" spans="1:6" ht="12.75">
      <c r="A8" s="118">
        <v>37742</v>
      </c>
      <c r="B8" s="116">
        <f>'[1]VALORES DEVIDIDOS MÊS A MÊS'!H8</f>
        <v>0</v>
      </c>
      <c r="C8" s="117" t="str">
        <f>'[1]Plan1'!C215</f>
        <v>1,0705</v>
      </c>
      <c r="D8" s="117">
        <f aca="true" t="shared" si="0" ref="D8:D20">B8*C8</f>
        <v>0</v>
      </c>
      <c r="E8" s="117">
        <f aca="true" t="shared" si="1" ref="E8:E20">D8*0.1533</f>
        <v>0</v>
      </c>
      <c r="F8" s="52">
        <f aca="true" t="shared" si="2" ref="F8:F20">D8+E8</f>
        <v>0</v>
      </c>
    </row>
    <row r="9" spans="1:6" ht="12.75">
      <c r="A9" s="118">
        <v>37773</v>
      </c>
      <c r="B9" s="116">
        <f>'[1]VALORES DEVIDIDOS MÊS A MÊS'!H9</f>
        <v>0</v>
      </c>
      <c r="C9" s="117" t="str">
        <f>'[1]Plan1'!C216</f>
        <v>1,0655</v>
      </c>
      <c r="D9" s="117">
        <f t="shared" si="0"/>
        <v>0</v>
      </c>
      <c r="E9" s="117">
        <f t="shared" si="1"/>
        <v>0</v>
      </c>
      <c r="F9" s="52">
        <f t="shared" si="2"/>
        <v>0</v>
      </c>
    </row>
    <row r="10" spans="1:6" ht="12.75">
      <c r="A10" s="118">
        <v>37803</v>
      </c>
      <c r="B10" s="116">
        <f>'[1]VALORES DEVIDIDOS MÊS A MÊS'!H10</f>
        <v>0</v>
      </c>
      <c r="C10" s="117" t="str">
        <f>'[1]Plan1'!C217</f>
        <v>1,0611</v>
      </c>
      <c r="D10" s="117">
        <f t="shared" si="0"/>
        <v>0</v>
      </c>
      <c r="E10" s="117">
        <f t="shared" si="1"/>
        <v>0</v>
      </c>
      <c r="F10" s="52">
        <f t="shared" si="2"/>
        <v>0</v>
      </c>
    </row>
    <row r="11" spans="1:6" ht="12.75">
      <c r="A11" s="118">
        <v>37834</v>
      </c>
      <c r="B11" s="116">
        <f>'[1]VALORES DEVIDIDOS MÊS A MÊS'!H11</f>
        <v>0</v>
      </c>
      <c r="C11" s="117" t="str">
        <f>'[1]Plan1'!C218</f>
        <v>1,0554</v>
      </c>
      <c r="D11" s="117">
        <f t="shared" si="0"/>
        <v>0</v>
      </c>
      <c r="E11" s="117">
        <f t="shared" si="1"/>
        <v>0</v>
      </c>
      <c r="F11" s="52">
        <f t="shared" si="2"/>
        <v>0</v>
      </c>
    </row>
    <row r="12" spans="1:6" ht="12.75">
      <c r="A12" s="118">
        <v>37865</v>
      </c>
      <c r="B12" s="116">
        <f>'[1]VALORES DEVIDIDOS MÊS A MÊS'!H12</f>
        <v>0</v>
      </c>
      <c r="C12" s="117" t="str">
        <f>'[1]Plan1'!C219</f>
        <v>1,0511</v>
      </c>
      <c r="D12" s="117">
        <f t="shared" si="0"/>
        <v>0</v>
      </c>
      <c r="E12" s="117">
        <f t="shared" si="1"/>
        <v>0</v>
      </c>
      <c r="F12" s="52">
        <f t="shared" si="2"/>
        <v>0</v>
      </c>
    </row>
    <row r="13" spans="1:6" ht="12.75">
      <c r="A13" s="118">
        <v>37895</v>
      </c>
      <c r="B13" s="116">
        <f>'[1]VALORES DEVIDIDOS MÊS A MÊS'!H13</f>
        <v>0</v>
      </c>
      <c r="C13" s="117" t="str">
        <f>'[1]Plan1'!C220</f>
        <v>1,0476</v>
      </c>
      <c r="D13" s="117">
        <f t="shared" si="0"/>
        <v>0</v>
      </c>
      <c r="E13" s="117">
        <f t="shared" si="1"/>
        <v>0</v>
      </c>
      <c r="F13" s="52">
        <f t="shared" si="2"/>
        <v>0</v>
      </c>
    </row>
    <row r="14" spans="1:6" ht="12.75">
      <c r="A14" s="118">
        <v>37926</v>
      </c>
      <c r="B14" s="116">
        <f>'[1]VALORES DEVIDIDOS MÊS A MÊS'!H14</f>
        <v>300</v>
      </c>
      <c r="C14" s="117" t="str">
        <f>'[1]Plan1'!C221</f>
        <v>1,0442</v>
      </c>
      <c r="D14" s="117">
        <f t="shared" si="0"/>
        <v>313.26</v>
      </c>
      <c r="E14" s="117">
        <f t="shared" si="1"/>
        <v>48.022757999999996</v>
      </c>
      <c r="F14" s="52">
        <f t="shared" si="2"/>
        <v>361.282758</v>
      </c>
    </row>
    <row r="15" spans="1:6" ht="12.75">
      <c r="A15" s="118">
        <v>37956</v>
      </c>
      <c r="B15" s="116">
        <f>'[1]VALORES DEVIDIDOS MÊS A MÊS'!H15</f>
        <v>1002</v>
      </c>
      <c r="C15" s="117" t="str">
        <f>'[1]Plan1'!C222</f>
        <v>1,0424</v>
      </c>
      <c r="D15" s="117">
        <f t="shared" si="0"/>
        <v>1044.4848</v>
      </c>
      <c r="E15" s="117">
        <f t="shared" si="1"/>
        <v>160.11951983999998</v>
      </c>
      <c r="F15" s="52">
        <f t="shared" si="2"/>
        <v>1204.60431984</v>
      </c>
    </row>
    <row r="16" spans="1:6" ht="12.75">
      <c r="A16" s="118">
        <v>37987</v>
      </c>
      <c r="B16" s="116">
        <f>'[1]VALORES DEVIDIDOS MÊS A MÊS'!H16</f>
        <v>300</v>
      </c>
      <c r="C16" s="117" t="str">
        <f>'[1]Plan1'!C223</f>
        <v>1,0405</v>
      </c>
      <c r="D16" s="117">
        <f t="shared" si="0"/>
        <v>312.15</v>
      </c>
      <c r="E16" s="117">
        <f t="shared" si="1"/>
        <v>47.852594999999994</v>
      </c>
      <c r="F16" s="52">
        <f t="shared" si="2"/>
        <v>360.002595</v>
      </c>
    </row>
    <row r="17" spans="1:6" ht="12.75">
      <c r="A17" s="118">
        <v>38018</v>
      </c>
      <c r="B17" s="116">
        <f>'[1]VALORES DEVIDIDOS MÊS A MÊS'!H17</f>
        <v>300</v>
      </c>
      <c r="C17" s="117" t="str">
        <f>'[1]Plan1'!C224</f>
        <v>1,0392</v>
      </c>
      <c r="D17" s="117">
        <f t="shared" si="0"/>
        <v>311.76</v>
      </c>
      <c r="E17" s="117">
        <f t="shared" si="1"/>
        <v>47.792807999999994</v>
      </c>
      <c r="F17" s="52">
        <f t="shared" si="2"/>
        <v>359.55280799999997</v>
      </c>
    </row>
    <row r="18" spans="1:6" ht="12.75">
      <c r="A18" s="118">
        <v>38047</v>
      </c>
      <c r="B18" s="116">
        <f>'[1]VALORES DEVIDIDOS MÊS A MÊS'!H18</f>
        <v>300</v>
      </c>
      <c r="C18" s="117" t="str">
        <f>'[1]Plan1'!C225</f>
        <v>1,0386</v>
      </c>
      <c r="D18" s="117">
        <f t="shared" si="0"/>
        <v>311.58</v>
      </c>
      <c r="E18" s="117">
        <f t="shared" si="1"/>
        <v>47.76521399999999</v>
      </c>
      <c r="F18" s="52">
        <f t="shared" si="2"/>
        <v>359.345214</v>
      </c>
    </row>
    <row r="19" spans="1:6" ht="12.75">
      <c r="A19" s="115">
        <v>38096</v>
      </c>
      <c r="B19" s="116">
        <f>'[1]VALORES DEVIDIDOS MÊS A MÊS'!H19</f>
        <v>300</v>
      </c>
      <c r="C19" s="117" t="str">
        <f>'[1]Plan1'!C226</f>
        <v>1,0368</v>
      </c>
      <c r="D19" s="117">
        <f t="shared" si="0"/>
        <v>311.03999999999996</v>
      </c>
      <c r="E19" s="117">
        <f t="shared" si="1"/>
        <v>47.68243199999999</v>
      </c>
      <c r="F19" s="52">
        <f t="shared" si="2"/>
        <v>358.72243199999997</v>
      </c>
    </row>
    <row r="20" spans="1:6" ht="12.75">
      <c r="A20" s="118" t="s">
        <v>81</v>
      </c>
      <c r="B20" s="116">
        <f>'[1]Verbas Resilitórias'!F19+'[1]Verbas Resilitórias'!F20+'[1]Verbas Resilitórias'!F21+'[1]Verbas Resilitórias'!F22</f>
        <v>2288</v>
      </c>
      <c r="C20" s="117" t="str">
        <f>C19</f>
        <v>1,0368</v>
      </c>
      <c r="D20" s="117">
        <f t="shared" si="0"/>
        <v>2372.1983999999998</v>
      </c>
      <c r="E20" s="117">
        <f t="shared" si="1"/>
        <v>363.6580147199999</v>
      </c>
      <c r="F20" s="53">
        <f t="shared" si="2"/>
        <v>2735.8564147199995</v>
      </c>
    </row>
    <row r="21" spans="1:6" ht="12.75">
      <c r="A21" s="119" t="s">
        <v>82</v>
      </c>
      <c r="B21" s="120">
        <f>SUM(B7:B20)</f>
        <v>4790</v>
      </c>
      <c r="C21" s="121" t="s">
        <v>20</v>
      </c>
      <c r="D21" s="120">
        <f>SUM(D7:D20)</f>
        <v>4976.4732</v>
      </c>
      <c r="E21" s="120">
        <f>SUM(E7:E20)</f>
        <v>762.89334156</v>
      </c>
      <c r="F21" s="120">
        <f>SUM(F7:F20)</f>
        <v>5739.366541559999</v>
      </c>
    </row>
    <row r="22" spans="1:6" ht="12.75">
      <c r="A22" s="122"/>
      <c r="B22" s="122"/>
      <c r="C22" s="121" t="s">
        <v>20</v>
      </c>
      <c r="D22" s="122"/>
      <c r="E22" s="122"/>
      <c r="F22" s="122"/>
    </row>
    <row r="23" spans="1:6" ht="12.75">
      <c r="A23" s="2" t="s">
        <v>83</v>
      </c>
      <c r="B23" s="2"/>
      <c r="C23" s="2"/>
      <c r="D23" s="2"/>
      <c r="E23" s="2"/>
      <c r="F23" s="5">
        <f>F21</f>
        <v>5739.366541559999</v>
      </c>
    </row>
    <row r="24" spans="1:6" ht="12.75">
      <c r="A24" s="2" t="s">
        <v>84</v>
      </c>
      <c r="B24" s="2"/>
      <c r="C24" s="2"/>
      <c r="D24" s="2"/>
      <c r="E24" s="2"/>
      <c r="F24" s="5">
        <f>F21</f>
        <v>5739.366541559999</v>
      </c>
    </row>
    <row r="25" spans="1:6" ht="12.75">
      <c r="A25" s="2" t="s">
        <v>85</v>
      </c>
      <c r="B25" s="2"/>
      <c r="C25" s="123">
        <v>0.275</v>
      </c>
      <c r="D25" s="2">
        <v>465.35</v>
      </c>
      <c r="E25" s="2"/>
      <c r="F25" s="5">
        <f>(F24*27.5%)-D25</f>
        <v>1112.9757989289997</v>
      </c>
    </row>
    <row r="26" spans="1:6" ht="12.75">
      <c r="A26" s="2" t="s">
        <v>115</v>
      </c>
      <c r="B26" s="2"/>
      <c r="C26" s="2"/>
      <c r="D26" s="2"/>
      <c r="E26" s="2"/>
      <c r="F26" s="5">
        <f>F24-F25</f>
        <v>4626.390742631</v>
      </c>
    </row>
    <row r="27" spans="1:6" ht="12.75">
      <c r="A27" s="2" t="s">
        <v>86</v>
      </c>
      <c r="B27" s="2"/>
      <c r="C27" s="2"/>
      <c r="D27" s="2"/>
      <c r="E27" s="2"/>
      <c r="F27" s="5">
        <f>F26/D28</f>
        <v>406880.9259348412</v>
      </c>
    </row>
    <row r="28" spans="1:6" ht="12.75">
      <c r="A28" s="2" t="s">
        <v>87</v>
      </c>
      <c r="B28" s="3"/>
      <c r="C28" s="3"/>
      <c r="D28" s="40">
        <f>RESCISÃO!F35</f>
        <v>0.01137038</v>
      </c>
      <c r="E28" s="3"/>
      <c r="F28" s="5">
        <f>F25/D28</f>
        <v>97883.78215407046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D8" sqref="D8"/>
    </sheetView>
  </sheetViews>
  <sheetFormatPr defaultColWidth="9.140625" defaultRowHeight="12.75"/>
  <sheetData>
    <row r="1" spans="1:17" ht="12.75">
      <c r="A1" s="112" t="s">
        <v>53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"/>
      <c r="O1" s="3"/>
      <c r="P1" s="3"/>
      <c r="Q1" s="3"/>
    </row>
    <row r="2" spans="1:17" ht="12.75">
      <c r="A2" s="112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3"/>
      <c r="O2" s="3"/>
      <c r="P2" s="3"/>
      <c r="Q2" s="3"/>
    </row>
    <row r="3" spans="1:17" ht="12.75">
      <c r="A3" s="112" t="s">
        <v>55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3"/>
      <c r="O3" s="3"/>
      <c r="P3" s="3"/>
      <c r="Q3" s="3"/>
    </row>
    <row r="4" spans="1:17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38"/>
      <c r="O4" s="138"/>
      <c r="P4" s="138"/>
      <c r="Q4" s="138"/>
    </row>
    <row r="5" spans="1:17" ht="12.75">
      <c r="A5" s="21" t="s">
        <v>26</v>
      </c>
      <c r="B5" s="41" t="s">
        <v>43</v>
      </c>
      <c r="C5" s="139" t="s">
        <v>94</v>
      </c>
      <c r="D5" s="139" t="s">
        <v>95</v>
      </c>
      <c r="E5" s="139" t="s">
        <v>96</v>
      </c>
      <c r="F5" s="21" t="s">
        <v>45</v>
      </c>
      <c r="G5" s="21" t="s">
        <v>51</v>
      </c>
      <c r="H5" s="21" t="s">
        <v>97</v>
      </c>
      <c r="I5" s="21" t="s">
        <v>7</v>
      </c>
      <c r="J5" s="21" t="s">
        <v>7</v>
      </c>
      <c r="K5" s="21" t="s">
        <v>8</v>
      </c>
      <c r="L5" s="21" t="s">
        <v>7</v>
      </c>
      <c r="M5" s="21" t="s">
        <v>29</v>
      </c>
      <c r="N5" s="21" t="s">
        <v>76</v>
      </c>
      <c r="O5" s="21" t="s">
        <v>28</v>
      </c>
      <c r="P5" s="21" t="s">
        <v>77</v>
      </c>
      <c r="Q5" s="21" t="s">
        <v>28</v>
      </c>
    </row>
    <row r="6" spans="1:17" ht="12.75">
      <c r="A6" s="21" t="s">
        <v>30</v>
      </c>
      <c r="B6" s="139" t="s">
        <v>98</v>
      </c>
      <c r="C6" s="41" t="s">
        <v>12</v>
      </c>
      <c r="D6" s="41" t="s">
        <v>99</v>
      </c>
      <c r="E6" s="41" t="s">
        <v>100</v>
      </c>
      <c r="F6" s="140" t="s">
        <v>6</v>
      </c>
      <c r="G6" s="140" t="s">
        <v>7</v>
      </c>
      <c r="H6" s="140" t="s">
        <v>101</v>
      </c>
      <c r="I6" s="140" t="s">
        <v>102</v>
      </c>
      <c r="J6" s="141">
        <v>0.2</v>
      </c>
      <c r="K6" s="142">
        <v>0.08</v>
      </c>
      <c r="L6" s="140" t="s">
        <v>103</v>
      </c>
      <c r="M6" s="21" t="s">
        <v>12</v>
      </c>
      <c r="N6" s="21" t="s">
        <v>78</v>
      </c>
      <c r="O6" s="21" t="s">
        <v>33</v>
      </c>
      <c r="P6" s="21" t="s">
        <v>79</v>
      </c>
      <c r="Q6" s="21" t="s">
        <v>33</v>
      </c>
    </row>
    <row r="7" spans="1:17" ht="12.75">
      <c r="A7" s="115">
        <v>37719</v>
      </c>
      <c r="B7" s="117">
        <v>0</v>
      </c>
      <c r="C7" s="117" t="e">
        <f>#REF!*0.82</f>
        <v>#REF!</v>
      </c>
      <c r="D7" s="117" t="e">
        <f>#REF!</f>
        <v>#REF!</v>
      </c>
      <c r="E7" s="117" t="e">
        <f>#REF!*0.23</f>
        <v>#REF!</v>
      </c>
      <c r="F7" s="117" t="e">
        <f>#REF!+#REF!+#REF!+B7+C7+D7+E7</f>
        <v>#REF!</v>
      </c>
      <c r="G7" s="117" t="e">
        <f>'[1]VALORES DEVIDIDOS MÊS A MÊS'!#REF!</f>
        <v>#REF!</v>
      </c>
      <c r="H7" s="143">
        <v>0.09</v>
      </c>
      <c r="I7" s="117" t="e">
        <f aca="true" t="shared" si="0" ref="I7:I20">G7*H7</f>
        <v>#REF!</v>
      </c>
      <c r="J7" s="144">
        <v>0.2</v>
      </c>
      <c r="K7" s="117" t="e">
        <f>(F7-#REF!)*0.08</f>
        <v>#REF!</v>
      </c>
      <c r="L7" s="117" t="e">
        <f aca="true" t="shared" si="1" ref="L7:L20">G7*J7</f>
        <v>#REF!</v>
      </c>
      <c r="M7" s="116" t="e">
        <f>I7+L7</f>
        <v>#REF!</v>
      </c>
      <c r="N7" s="117" t="e">
        <f>'[1]Correção  Parcelas Tributáveis'!#REF!</f>
        <v>#REF!</v>
      </c>
      <c r="O7" s="117" t="e">
        <f>M7*N7</f>
        <v>#REF!</v>
      </c>
      <c r="P7" s="117" t="e">
        <f>O7*0.1533</f>
        <v>#REF!</v>
      </c>
      <c r="Q7" s="116" t="e">
        <f>M7*N7</f>
        <v>#REF!</v>
      </c>
    </row>
    <row r="8" spans="1:17" ht="12.75">
      <c r="A8" s="118">
        <v>37742</v>
      </c>
      <c r="B8" s="117">
        <v>0</v>
      </c>
      <c r="C8" s="117" t="e">
        <f>#REF!*0.82</f>
        <v>#REF!</v>
      </c>
      <c r="D8" s="117" t="e">
        <f>#REF!</f>
        <v>#REF!</v>
      </c>
      <c r="E8" s="117" t="e">
        <f>#REF!*0.23</f>
        <v>#REF!</v>
      </c>
      <c r="F8" s="117" t="e">
        <f>#REF!+#REF!+#REF!+B8+C8+D8+E8</f>
        <v>#REF!</v>
      </c>
      <c r="G8" s="117" t="e">
        <f>'[1]VALORES DEVIDIDOS MÊS A MÊS'!#REF!</f>
        <v>#REF!</v>
      </c>
      <c r="H8" s="143">
        <v>0.11</v>
      </c>
      <c r="I8" s="117" t="e">
        <f t="shared" si="0"/>
        <v>#REF!</v>
      </c>
      <c r="J8" s="144">
        <v>0.2</v>
      </c>
      <c r="K8" s="117" t="e">
        <f>(F8-#REF!)*0.08</f>
        <v>#REF!</v>
      </c>
      <c r="L8" s="117" t="e">
        <f t="shared" si="1"/>
        <v>#REF!</v>
      </c>
      <c r="M8" s="116" t="e">
        <f aca="true" t="shared" si="2" ref="M8:M20">I8+L8</f>
        <v>#REF!</v>
      </c>
      <c r="N8" s="117" t="e">
        <f>'[1]Correção  Parcelas Tributáveis'!#REF!</f>
        <v>#REF!</v>
      </c>
      <c r="O8" s="117" t="e">
        <f aca="true" t="shared" si="3" ref="O8:O20">M8*N8</f>
        <v>#REF!</v>
      </c>
      <c r="P8" s="117" t="e">
        <f aca="true" t="shared" si="4" ref="P8:P20">O8*0.1533</f>
        <v>#REF!</v>
      </c>
      <c r="Q8" s="116" t="e">
        <f aca="true" t="shared" si="5" ref="Q8:Q20">M8*N8</f>
        <v>#REF!</v>
      </c>
    </row>
    <row r="9" spans="1:17" ht="12.75">
      <c r="A9" s="118">
        <v>37773</v>
      </c>
      <c r="B9" s="117">
        <v>0</v>
      </c>
      <c r="C9" s="117" t="e">
        <f>#REF!*0.82</f>
        <v>#REF!</v>
      </c>
      <c r="D9" s="117" t="e">
        <f>#REF!</f>
        <v>#REF!</v>
      </c>
      <c r="E9" s="117" t="e">
        <f>#REF!*0.23</f>
        <v>#REF!</v>
      </c>
      <c r="F9" s="117" t="e">
        <f>#REF!+#REF!+#REF!+B9+C9+D9+E9</f>
        <v>#REF!</v>
      </c>
      <c r="G9" s="117" t="e">
        <f>'[1]VALORES DEVIDIDOS MÊS A MÊS'!#REF!</f>
        <v>#REF!</v>
      </c>
      <c r="H9" s="143">
        <v>0.11</v>
      </c>
      <c r="I9" s="117" t="e">
        <f t="shared" si="0"/>
        <v>#REF!</v>
      </c>
      <c r="J9" s="144">
        <v>0.2</v>
      </c>
      <c r="K9" s="117" t="e">
        <f>(F9-#REF!)*0.08</f>
        <v>#REF!</v>
      </c>
      <c r="L9" s="117" t="e">
        <f t="shared" si="1"/>
        <v>#REF!</v>
      </c>
      <c r="M9" s="116" t="e">
        <f t="shared" si="2"/>
        <v>#REF!</v>
      </c>
      <c r="N9" s="117" t="e">
        <f>'[1]Correção  Parcelas Tributáveis'!#REF!</f>
        <v>#REF!</v>
      </c>
      <c r="O9" s="117" t="e">
        <f t="shared" si="3"/>
        <v>#REF!</v>
      </c>
      <c r="P9" s="117" t="e">
        <f t="shared" si="4"/>
        <v>#REF!</v>
      </c>
      <c r="Q9" s="116" t="e">
        <f t="shared" si="5"/>
        <v>#REF!</v>
      </c>
    </row>
    <row r="10" spans="1:17" ht="12.75">
      <c r="A10" s="118">
        <v>37803</v>
      </c>
      <c r="B10" s="117">
        <v>0</v>
      </c>
      <c r="C10" s="117" t="e">
        <f>#REF!*0.82</f>
        <v>#REF!</v>
      </c>
      <c r="D10" s="117" t="e">
        <f>#REF!</f>
        <v>#REF!</v>
      </c>
      <c r="E10" s="117" t="e">
        <f>#REF!*0.23</f>
        <v>#REF!</v>
      </c>
      <c r="F10" s="117" t="e">
        <f>#REF!+#REF!+#REF!+B10+C10+D10+E10</f>
        <v>#REF!</v>
      </c>
      <c r="G10" s="117" t="e">
        <f>'[1]VALORES DEVIDIDOS MÊS A MÊS'!#REF!</f>
        <v>#REF!</v>
      </c>
      <c r="H10" s="143">
        <v>0.11</v>
      </c>
      <c r="I10" s="117" t="e">
        <f t="shared" si="0"/>
        <v>#REF!</v>
      </c>
      <c r="J10" s="144">
        <v>0.2</v>
      </c>
      <c r="K10" s="117" t="e">
        <f>(F10-#REF!)*0.08</f>
        <v>#REF!</v>
      </c>
      <c r="L10" s="117" t="e">
        <f t="shared" si="1"/>
        <v>#REF!</v>
      </c>
      <c r="M10" s="116" t="e">
        <f t="shared" si="2"/>
        <v>#REF!</v>
      </c>
      <c r="N10" s="117" t="e">
        <f>'[1]Correção  Parcelas Tributáveis'!#REF!</f>
        <v>#REF!</v>
      </c>
      <c r="O10" s="117" t="e">
        <f t="shared" si="3"/>
        <v>#REF!</v>
      </c>
      <c r="P10" s="117" t="e">
        <f t="shared" si="4"/>
        <v>#REF!</v>
      </c>
      <c r="Q10" s="116" t="e">
        <f t="shared" si="5"/>
        <v>#REF!</v>
      </c>
    </row>
    <row r="11" spans="1:17" ht="12.75">
      <c r="A11" s="118">
        <v>37834</v>
      </c>
      <c r="B11" s="117">
        <v>0</v>
      </c>
      <c r="C11" s="117" t="e">
        <f>#REF!*0.82</f>
        <v>#REF!</v>
      </c>
      <c r="D11" s="117" t="e">
        <f>#REF!</f>
        <v>#REF!</v>
      </c>
      <c r="E11" s="117" t="e">
        <f>#REF!*0.23</f>
        <v>#REF!</v>
      </c>
      <c r="F11" s="117" t="e">
        <f>#REF!+#REF!+#REF!+B11+C11+D11+E11</f>
        <v>#REF!</v>
      </c>
      <c r="G11" s="117" t="e">
        <f>'[1]VALORES DEVIDIDOS MÊS A MÊS'!#REF!</f>
        <v>#REF!</v>
      </c>
      <c r="H11" s="143">
        <v>0.11</v>
      </c>
      <c r="I11" s="117" t="e">
        <f t="shared" si="0"/>
        <v>#REF!</v>
      </c>
      <c r="J11" s="144">
        <v>0.2</v>
      </c>
      <c r="K11" s="117" t="e">
        <f>(F11-#REF!)*0.08</f>
        <v>#REF!</v>
      </c>
      <c r="L11" s="117" t="e">
        <f t="shared" si="1"/>
        <v>#REF!</v>
      </c>
      <c r="M11" s="116" t="e">
        <f t="shared" si="2"/>
        <v>#REF!</v>
      </c>
      <c r="N11" s="117" t="e">
        <f>'[1]Correção  Parcelas Tributáveis'!#REF!</f>
        <v>#REF!</v>
      </c>
      <c r="O11" s="117" t="e">
        <f t="shared" si="3"/>
        <v>#REF!</v>
      </c>
      <c r="P11" s="117" t="e">
        <f t="shared" si="4"/>
        <v>#REF!</v>
      </c>
      <c r="Q11" s="116" t="e">
        <f t="shared" si="5"/>
        <v>#REF!</v>
      </c>
    </row>
    <row r="12" spans="1:17" ht="12.75">
      <c r="A12" s="118">
        <v>37865</v>
      </c>
      <c r="B12" s="117">
        <v>0</v>
      </c>
      <c r="C12" s="117" t="e">
        <f>#REF!*0.82</f>
        <v>#REF!</v>
      </c>
      <c r="D12" s="117" t="e">
        <f>#REF!</f>
        <v>#REF!</v>
      </c>
      <c r="E12" s="117" t="e">
        <f>#REF!*0.23</f>
        <v>#REF!</v>
      </c>
      <c r="F12" s="117" t="e">
        <f>#REF!+#REF!+#REF!+B12+C12+D12+E12</f>
        <v>#REF!</v>
      </c>
      <c r="G12" s="117" t="e">
        <f>'[1]VALORES DEVIDIDOS MÊS A MÊS'!#REF!</f>
        <v>#REF!</v>
      </c>
      <c r="H12" s="143">
        <v>0.11</v>
      </c>
      <c r="I12" s="117" t="e">
        <f t="shared" si="0"/>
        <v>#REF!</v>
      </c>
      <c r="J12" s="144">
        <v>0.2</v>
      </c>
      <c r="K12" s="117" t="e">
        <f>(F12-#REF!)*0.08</f>
        <v>#REF!</v>
      </c>
      <c r="L12" s="117" t="e">
        <f t="shared" si="1"/>
        <v>#REF!</v>
      </c>
      <c r="M12" s="116" t="e">
        <f t="shared" si="2"/>
        <v>#REF!</v>
      </c>
      <c r="N12" s="117" t="e">
        <f>'[1]Correção  Parcelas Tributáveis'!#REF!</f>
        <v>#REF!</v>
      </c>
      <c r="O12" s="117" t="e">
        <f t="shared" si="3"/>
        <v>#REF!</v>
      </c>
      <c r="P12" s="117" t="e">
        <f t="shared" si="4"/>
        <v>#REF!</v>
      </c>
      <c r="Q12" s="116" t="e">
        <f t="shared" si="5"/>
        <v>#REF!</v>
      </c>
    </row>
    <row r="13" spans="1:17" ht="12.75">
      <c r="A13" s="118">
        <v>37895</v>
      </c>
      <c r="B13" s="117">
        <v>0</v>
      </c>
      <c r="C13" s="117" t="e">
        <f>#REF!*0.82</f>
        <v>#REF!</v>
      </c>
      <c r="D13" s="117" t="e">
        <f>#REF!</f>
        <v>#REF!</v>
      </c>
      <c r="E13" s="117" t="e">
        <f>#REF!*0.23</f>
        <v>#REF!</v>
      </c>
      <c r="F13" s="117" t="e">
        <f>#REF!+#REF!+#REF!+B13+C13+D13+E13</f>
        <v>#REF!</v>
      </c>
      <c r="G13" s="117" t="e">
        <f>'[1]VALORES DEVIDIDOS MÊS A MÊS'!#REF!</f>
        <v>#REF!</v>
      </c>
      <c r="H13" s="143">
        <v>0.11</v>
      </c>
      <c r="I13" s="117" t="e">
        <f t="shared" si="0"/>
        <v>#REF!</v>
      </c>
      <c r="J13" s="144">
        <v>0.2</v>
      </c>
      <c r="K13" s="117" t="e">
        <f>(F13-#REF!)*0.08</f>
        <v>#REF!</v>
      </c>
      <c r="L13" s="117" t="e">
        <f t="shared" si="1"/>
        <v>#REF!</v>
      </c>
      <c r="M13" s="116" t="e">
        <f t="shared" si="2"/>
        <v>#REF!</v>
      </c>
      <c r="N13" s="117" t="e">
        <f>'[1]Correção  Parcelas Tributáveis'!#REF!</f>
        <v>#REF!</v>
      </c>
      <c r="O13" s="117" t="e">
        <f t="shared" si="3"/>
        <v>#REF!</v>
      </c>
      <c r="P13" s="117" t="e">
        <f t="shared" si="4"/>
        <v>#REF!</v>
      </c>
      <c r="Q13" s="116" t="e">
        <f t="shared" si="5"/>
        <v>#REF!</v>
      </c>
    </row>
    <row r="14" spans="1:17" ht="12.75">
      <c r="A14" s="118">
        <v>37926</v>
      </c>
      <c r="B14" s="117">
        <v>0</v>
      </c>
      <c r="C14" s="117" t="e">
        <f>#REF!*0.82</f>
        <v>#REF!</v>
      </c>
      <c r="D14" s="117" t="e">
        <f>#REF!</f>
        <v>#REF!</v>
      </c>
      <c r="E14" s="117" t="e">
        <f>#REF!*0.23</f>
        <v>#REF!</v>
      </c>
      <c r="F14" s="117" t="e">
        <f>#REF!+#REF!+#REF!+B14+C14+D14+E14</f>
        <v>#REF!</v>
      </c>
      <c r="G14" s="117" t="e">
        <f>'[1]VALORES DEVIDIDOS MÊS A MÊS'!#REF!</f>
        <v>#REF!</v>
      </c>
      <c r="H14" s="143">
        <v>0.11</v>
      </c>
      <c r="I14" s="117" t="e">
        <f t="shared" si="0"/>
        <v>#REF!</v>
      </c>
      <c r="J14" s="144">
        <v>0.2</v>
      </c>
      <c r="K14" s="117" t="e">
        <f>(F14-#REF!)*0.08</f>
        <v>#REF!</v>
      </c>
      <c r="L14" s="117" t="e">
        <f t="shared" si="1"/>
        <v>#REF!</v>
      </c>
      <c r="M14" s="116" t="e">
        <f t="shared" si="2"/>
        <v>#REF!</v>
      </c>
      <c r="N14" s="117" t="e">
        <f>'[1]Correção  Parcelas Tributáveis'!#REF!</f>
        <v>#REF!</v>
      </c>
      <c r="O14" s="117" t="e">
        <f t="shared" si="3"/>
        <v>#REF!</v>
      </c>
      <c r="P14" s="117" t="e">
        <f t="shared" si="4"/>
        <v>#REF!</v>
      </c>
      <c r="Q14" s="116" t="e">
        <f t="shared" si="5"/>
        <v>#REF!</v>
      </c>
    </row>
    <row r="15" spans="1:17" ht="12.75">
      <c r="A15" s="118">
        <v>37956</v>
      </c>
      <c r="B15" s="117">
        <v>0</v>
      </c>
      <c r="C15" s="117" t="e">
        <f>#REF!*0.82</f>
        <v>#REF!</v>
      </c>
      <c r="D15" s="117" t="e">
        <f>#REF!</f>
        <v>#REF!</v>
      </c>
      <c r="E15" s="117" t="e">
        <f>#REF!*0.23</f>
        <v>#REF!</v>
      </c>
      <c r="F15" s="117" t="e">
        <f>#REF!+#REF!+#REF!+B15+C15+D15+E15</f>
        <v>#REF!</v>
      </c>
      <c r="G15" s="117" t="e">
        <f>'[1]VALORES DEVIDIDOS MÊS A MÊS'!#REF!</f>
        <v>#REF!</v>
      </c>
      <c r="H15" s="143">
        <v>0.11</v>
      </c>
      <c r="I15" s="117" t="e">
        <f t="shared" si="0"/>
        <v>#REF!</v>
      </c>
      <c r="J15" s="144">
        <v>0.2</v>
      </c>
      <c r="K15" s="117" t="e">
        <f>(F15-#REF!)*0.08</f>
        <v>#REF!</v>
      </c>
      <c r="L15" s="117" t="e">
        <f t="shared" si="1"/>
        <v>#REF!</v>
      </c>
      <c r="M15" s="116" t="e">
        <f t="shared" si="2"/>
        <v>#REF!</v>
      </c>
      <c r="N15" s="117" t="e">
        <f>'[1]Correção  Parcelas Tributáveis'!#REF!</f>
        <v>#REF!</v>
      </c>
      <c r="O15" s="117" t="e">
        <f t="shared" si="3"/>
        <v>#REF!</v>
      </c>
      <c r="P15" s="117" t="e">
        <f t="shared" si="4"/>
        <v>#REF!</v>
      </c>
      <c r="Q15" s="116" t="e">
        <f t="shared" si="5"/>
        <v>#REF!</v>
      </c>
    </row>
    <row r="16" spans="1:17" ht="12.75">
      <c r="A16" s="118">
        <v>37987</v>
      </c>
      <c r="B16" s="117">
        <v>0</v>
      </c>
      <c r="C16" s="117" t="e">
        <f>#REF!*0.82</f>
        <v>#REF!</v>
      </c>
      <c r="D16" s="117" t="e">
        <f>#REF!</f>
        <v>#REF!</v>
      </c>
      <c r="E16" s="117" t="e">
        <f>#REF!*0.23</f>
        <v>#REF!</v>
      </c>
      <c r="F16" s="117" t="e">
        <f>#REF!+#REF!+#REF!+B16+C16+D16+E16</f>
        <v>#REF!</v>
      </c>
      <c r="G16" s="117" t="e">
        <f>'[1]VALORES DEVIDIDOS MÊS A MÊS'!#REF!</f>
        <v>#REF!</v>
      </c>
      <c r="H16" s="143">
        <v>0.09</v>
      </c>
      <c r="I16" s="117" t="e">
        <f t="shared" si="0"/>
        <v>#REF!</v>
      </c>
      <c r="J16" s="144">
        <v>0.2</v>
      </c>
      <c r="K16" s="117" t="e">
        <f>(F16-#REF!)*0.08</f>
        <v>#REF!</v>
      </c>
      <c r="L16" s="117" t="e">
        <f t="shared" si="1"/>
        <v>#REF!</v>
      </c>
      <c r="M16" s="116" t="e">
        <f t="shared" si="2"/>
        <v>#REF!</v>
      </c>
      <c r="N16" s="117" t="e">
        <f>'[1]Correção  Parcelas Tributáveis'!#REF!</f>
        <v>#REF!</v>
      </c>
      <c r="O16" s="117" t="e">
        <f t="shared" si="3"/>
        <v>#REF!</v>
      </c>
      <c r="P16" s="117" t="e">
        <f t="shared" si="4"/>
        <v>#REF!</v>
      </c>
      <c r="Q16" s="116" t="e">
        <f t="shared" si="5"/>
        <v>#REF!</v>
      </c>
    </row>
    <row r="17" spans="1:17" ht="12.75">
      <c r="A17" s="118">
        <v>38018</v>
      </c>
      <c r="B17" s="117">
        <v>0</v>
      </c>
      <c r="C17" s="117" t="e">
        <f>#REF!*0.82</f>
        <v>#REF!</v>
      </c>
      <c r="D17" s="117" t="e">
        <f>#REF!</f>
        <v>#REF!</v>
      </c>
      <c r="E17" s="117" t="e">
        <f>#REF!*0.23</f>
        <v>#REF!</v>
      </c>
      <c r="F17" s="117" t="e">
        <f>#REF!+#REF!+#REF!+B17+C17+D17+E17</f>
        <v>#REF!</v>
      </c>
      <c r="G17" s="117" t="e">
        <f>'[1]VALORES DEVIDIDOS MÊS A MÊS'!#REF!</f>
        <v>#REF!</v>
      </c>
      <c r="H17" s="143">
        <v>0.09</v>
      </c>
      <c r="I17" s="117" t="e">
        <f t="shared" si="0"/>
        <v>#REF!</v>
      </c>
      <c r="J17" s="144">
        <v>0.2</v>
      </c>
      <c r="K17" s="117" t="e">
        <f>(F17-#REF!)*0.08</f>
        <v>#REF!</v>
      </c>
      <c r="L17" s="117" t="e">
        <f t="shared" si="1"/>
        <v>#REF!</v>
      </c>
      <c r="M17" s="116" t="e">
        <f t="shared" si="2"/>
        <v>#REF!</v>
      </c>
      <c r="N17" s="117" t="e">
        <f>'[1]Correção  Parcelas Tributáveis'!#REF!</f>
        <v>#REF!</v>
      </c>
      <c r="O17" s="117" t="e">
        <f t="shared" si="3"/>
        <v>#REF!</v>
      </c>
      <c r="P17" s="117" t="e">
        <f t="shared" si="4"/>
        <v>#REF!</v>
      </c>
      <c r="Q17" s="116" t="e">
        <f t="shared" si="5"/>
        <v>#REF!</v>
      </c>
    </row>
    <row r="18" spans="1:17" ht="12.75">
      <c r="A18" s="118">
        <v>38047</v>
      </c>
      <c r="B18" s="117">
        <v>0</v>
      </c>
      <c r="C18" s="117" t="e">
        <f>#REF!*0.82</f>
        <v>#REF!</v>
      </c>
      <c r="D18" s="117" t="e">
        <f>#REF!</f>
        <v>#REF!</v>
      </c>
      <c r="E18" s="117" t="e">
        <f>#REF!*0.23</f>
        <v>#REF!</v>
      </c>
      <c r="F18" s="117" t="e">
        <f>#REF!+#REF!+#REF!+B18+C18+D18+E18</f>
        <v>#REF!</v>
      </c>
      <c r="G18" s="117" t="e">
        <f>'[1]VALORES DEVIDIDOS MÊS A MÊS'!#REF!</f>
        <v>#REF!</v>
      </c>
      <c r="H18" s="143">
        <v>0.09</v>
      </c>
      <c r="I18" s="117" t="e">
        <f t="shared" si="0"/>
        <v>#REF!</v>
      </c>
      <c r="J18" s="144">
        <v>0.2</v>
      </c>
      <c r="K18" s="117" t="e">
        <f>(F18-#REF!)*0.08</f>
        <v>#REF!</v>
      </c>
      <c r="L18" s="117" t="e">
        <f t="shared" si="1"/>
        <v>#REF!</v>
      </c>
      <c r="M18" s="116" t="e">
        <f t="shared" si="2"/>
        <v>#REF!</v>
      </c>
      <c r="N18" s="117" t="e">
        <f>'[1]Correção  Parcelas Tributáveis'!#REF!</f>
        <v>#REF!</v>
      </c>
      <c r="O18" s="117" t="e">
        <f t="shared" si="3"/>
        <v>#REF!</v>
      </c>
      <c r="P18" s="117" t="e">
        <f t="shared" si="4"/>
        <v>#REF!</v>
      </c>
      <c r="Q18" s="116" t="e">
        <f t="shared" si="5"/>
        <v>#REF!</v>
      </c>
    </row>
    <row r="19" spans="1:17" ht="12.75">
      <c r="A19" s="115">
        <v>38096</v>
      </c>
      <c r="B19" s="117" t="e">
        <f>#REF!</f>
        <v>#REF!</v>
      </c>
      <c r="C19" s="117" t="e">
        <f>#REF!*0.82</f>
        <v>#REF!</v>
      </c>
      <c r="D19" s="117" t="e">
        <f>#REF!</f>
        <v>#REF!</v>
      </c>
      <c r="E19" s="117" t="e">
        <f>#REF!*0.23</f>
        <v>#REF!</v>
      </c>
      <c r="F19" s="117" t="e">
        <f>#REF!+#REF!+#REF!+B19+C19+D19+E19</f>
        <v>#REF!</v>
      </c>
      <c r="G19" s="117" t="e">
        <f>'[1]VALORES DEVIDIDOS MÊS A MÊS'!#REF!</f>
        <v>#REF!</v>
      </c>
      <c r="H19" s="144">
        <v>0.0765</v>
      </c>
      <c r="I19" s="117" t="e">
        <f t="shared" si="0"/>
        <v>#REF!</v>
      </c>
      <c r="J19" s="144">
        <v>0.2</v>
      </c>
      <c r="K19" s="117"/>
      <c r="L19" s="117" t="e">
        <f t="shared" si="1"/>
        <v>#REF!</v>
      </c>
      <c r="M19" s="116" t="e">
        <f t="shared" si="2"/>
        <v>#REF!</v>
      </c>
      <c r="N19" s="117" t="e">
        <f>'[1]Correção  Parcelas Tributáveis'!#REF!</f>
        <v>#REF!</v>
      </c>
      <c r="O19" s="117" t="e">
        <f t="shared" si="3"/>
        <v>#REF!</v>
      </c>
      <c r="P19" s="117" t="e">
        <f t="shared" si="4"/>
        <v>#REF!</v>
      </c>
      <c r="Q19" s="116" t="e">
        <f t="shared" si="5"/>
        <v>#REF!</v>
      </c>
    </row>
    <row r="20" spans="1:17" ht="12.75">
      <c r="A20" s="118" t="s">
        <v>104</v>
      </c>
      <c r="B20" s="117"/>
      <c r="C20" s="117"/>
      <c r="D20" s="117"/>
      <c r="E20" s="117"/>
      <c r="F20" s="117"/>
      <c r="G20" s="117" t="e">
        <f>'[1]Verbas Resilitórias'!#REF!</f>
        <v>#REF!</v>
      </c>
      <c r="H20" s="144">
        <v>0.0765</v>
      </c>
      <c r="I20" s="117" t="e">
        <f t="shared" si="0"/>
        <v>#REF!</v>
      </c>
      <c r="J20" s="144">
        <v>0.2</v>
      </c>
      <c r="K20" s="117"/>
      <c r="L20" s="117" t="e">
        <f t="shared" si="1"/>
        <v>#REF!</v>
      </c>
      <c r="M20" s="116" t="e">
        <f t="shared" si="2"/>
        <v>#REF!</v>
      </c>
      <c r="N20" s="117" t="e">
        <f>'[1]Correção  Parcelas Tributáveis'!#REF!</f>
        <v>#REF!</v>
      </c>
      <c r="O20" s="117" t="e">
        <f t="shared" si="3"/>
        <v>#REF!</v>
      </c>
      <c r="P20" s="117" t="e">
        <f t="shared" si="4"/>
        <v>#REF!</v>
      </c>
      <c r="Q20" s="116" t="e">
        <f t="shared" si="5"/>
        <v>#REF!</v>
      </c>
    </row>
    <row r="21" spans="1:17" ht="12.75">
      <c r="A21" s="119" t="s">
        <v>82</v>
      </c>
      <c r="B21" s="145" t="s">
        <v>20</v>
      </c>
      <c r="C21" s="145" t="s">
        <v>20</v>
      </c>
      <c r="D21" s="145" t="s">
        <v>20</v>
      </c>
      <c r="E21" s="145" t="s">
        <v>20</v>
      </c>
      <c r="F21" s="116" t="e">
        <f>SUM(F7:F19)</f>
        <v>#REF!</v>
      </c>
      <c r="G21" s="145" t="s">
        <v>20</v>
      </c>
      <c r="H21" s="145"/>
      <c r="I21" s="120" t="e">
        <f>SUM(I7:I20)</f>
        <v>#REF!</v>
      </c>
      <c r="J21" s="145" t="s">
        <v>20</v>
      </c>
      <c r="K21" s="120" t="e">
        <f>SUM(K7:K19)</f>
        <v>#REF!</v>
      </c>
      <c r="L21" s="120" t="e">
        <f>SUM(L7:L20)</f>
        <v>#REF!</v>
      </c>
      <c r="M21" s="120" t="e">
        <f>SUM(M7:M20)</f>
        <v>#REF!</v>
      </c>
      <c r="N21" s="145" t="s">
        <v>20</v>
      </c>
      <c r="O21" s="145"/>
      <c r="P21" s="120" t="e">
        <f>SUM(P7:P20)</f>
        <v>#REF!</v>
      </c>
      <c r="Q21" s="120" t="e">
        <f>SUM(Q7:Q20)</f>
        <v>#REF!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9"/>
  <sheetViews>
    <sheetView tabSelected="1" workbookViewId="0" topLeftCell="A1">
      <selection activeCell="A1" sqref="A1:C404"/>
    </sheetView>
  </sheetViews>
  <sheetFormatPr defaultColWidth="9.140625" defaultRowHeight="12.75"/>
  <cols>
    <col min="3" max="3" width="13.00390625" style="0" customWidth="1"/>
  </cols>
  <sheetData>
    <row r="1" spans="1:3" ht="12.75">
      <c r="A1" s="21" t="s">
        <v>26</v>
      </c>
      <c r="B1" s="21" t="s">
        <v>27</v>
      </c>
      <c r="C1" s="21" t="s">
        <v>28</v>
      </c>
    </row>
    <row r="2" spans="1:3" ht="12.75">
      <c r="A2" s="21" t="s">
        <v>30</v>
      </c>
      <c r="B2" s="21" t="s">
        <v>31</v>
      </c>
      <c r="C2" s="21" t="s">
        <v>32</v>
      </c>
    </row>
    <row r="3" spans="1:3" ht="12.75">
      <c r="A3" s="22">
        <v>27134</v>
      </c>
      <c r="B3" s="23" t="s">
        <v>34</v>
      </c>
      <c r="C3" s="24">
        <f>312/2</f>
        <v>156</v>
      </c>
    </row>
    <row r="4" spans="1:3" ht="12.75">
      <c r="A4" s="25">
        <v>27150</v>
      </c>
      <c r="B4" s="23" t="s">
        <v>34</v>
      </c>
      <c r="C4" s="24">
        <v>376</v>
      </c>
    </row>
    <row r="5" spans="1:3" ht="12.75">
      <c r="A5" s="25">
        <v>27181</v>
      </c>
      <c r="B5" s="23" t="s">
        <v>34</v>
      </c>
      <c r="C5" s="24">
        <v>376</v>
      </c>
    </row>
    <row r="6" spans="1:3" ht="12.75">
      <c r="A6" s="25">
        <v>27211</v>
      </c>
      <c r="B6" s="23" t="s">
        <v>34</v>
      </c>
      <c r="C6" s="24">
        <v>376</v>
      </c>
    </row>
    <row r="7" spans="1:3" ht="12.75">
      <c r="A7" s="25">
        <v>27242</v>
      </c>
      <c r="B7" s="23" t="s">
        <v>34</v>
      </c>
      <c r="C7" s="24">
        <v>376</v>
      </c>
    </row>
    <row r="8" spans="1:3" ht="12.75">
      <c r="A8" s="25">
        <v>27273</v>
      </c>
      <c r="B8" s="23" t="s">
        <v>34</v>
      </c>
      <c r="C8" s="24">
        <v>376</v>
      </c>
    </row>
    <row r="9" spans="1:3" ht="12.75">
      <c r="A9" s="25">
        <v>27303</v>
      </c>
      <c r="B9" s="23" t="s">
        <v>34</v>
      </c>
      <c r="C9" s="24">
        <v>376</v>
      </c>
    </row>
    <row r="10" spans="1:3" ht="12.75">
      <c r="A10" s="25">
        <v>27334</v>
      </c>
      <c r="B10" s="23" t="s">
        <v>34</v>
      </c>
      <c r="C10" s="24">
        <v>376</v>
      </c>
    </row>
    <row r="11" spans="1:3" ht="12.75">
      <c r="A11" s="25">
        <v>27364</v>
      </c>
      <c r="B11" s="23" t="s">
        <v>34</v>
      </c>
      <c r="C11" s="24">
        <v>376</v>
      </c>
    </row>
    <row r="12" spans="1:3" ht="12.75">
      <c r="A12" s="25">
        <v>27395</v>
      </c>
      <c r="B12" s="23" t="s">
        <v>34</v>
      </c>
      <c r="C12" s="24">
        <v>376</v>
      </c>
    </row>
    <row r="13" spans="1:3" ht="12.75">
      <c r="A13" s="25">
        <v>27426</v>
      </c>
      <c r="B13" s="23" t="s">
        <v>34</v>
      </c>
      <c r="C13" s="24">
        <v>376</v>
      </c>
    </row>
    <row r="14" spans="1:3" ht="12.75">
      <c r="A14" s="25">
        <v>27454</v>
      </c>
      <c r="B14" s="23" t="s">
        <v>34</v>
      </c>
      <c r="C14" s="24">
        <v>376</v>
      </c>
    </row>
    <row r="15" spans="1:3" ht="12.75">
      <c r="A15" s="25">
        <v>27485</v>
      </c>
      <c r="B15" s="23" t="s">
        <v>34</v>
      </c>
      <c r="C15" s="24">
        <v>376</v>
      </c>
    </row>
    <row r="16" spans="1:3" ht="12.75">
      <c r="A16" s="25">
        <v>27515</v>
      </c>
      <c r="B16" s="23" t="s">
        <v>34</v>
      </c>
      <c r="C16" s="24">
        <v>532.8</v>
      </c>
    </row>
    <row r="17" spans="1:3" ht="12.75">
      <c r="A17" s="25">
        <v>27546</v>
      </c>
      <c r="B17" s="23" t="s">
        <v>34</v>
      </c>
      <c r="C17" s="24">
        <v>532.8</v>
      </c>
    </row>
    <row r="18" spans="1:3" ht="12.75">
      <c r="A18" s="25">
        <v>27576</v>
      </c>
      <c r="B18" s="23" t="s">
        <v>34</v>
      </c>
      <c r="C18" s="24">
        <v>532.8</v>
      </c>
    </row>
    <row r="19" spans="1:3" ht="12.75">
      <c r="A19" s="25">
        <v>27607</v>
      </c>
      <c r="B19" s="23" t="s">
        <v>34</v>
      </c>
      <c r="C19" s="24">
        <v>532.8</v>
      </c>
    </row>
    <row r="20" spans="1:3" ht="12.75">
      <c r="A20" s="25">
        <v>27638</v>
      </c>
      <c r="B20" s="23" t="s">
        <v>34</v>
      </c>
      <c r="C20" s="24">
        <v>532.8</v>
      </c>
    </row>
    <row r="21" spans="1:3" ht="12.75">
      <c r="A21" s="25">
        <v>27668</v>
      </c>
      <c r="B21" s="23" t="s">
        <v>34</v>
      </c>
      <c r="C21" s="24">
        <v>532.8</v>
      </c>
    </row>
    <row r="22" spans="1:3" ht="12.75">
      <c r="A22" s="25">
        <v>27699</v>
      </c>
      <c r="B22" s="23" t="s">
        <v>34</v>
      </c>
      <c r="C22" s="24">
        <v>532.8</v>
      </c>
    </row>
    <row r="23" spans="1:3" ht="12.75">
      <c r="A23" s="25">
        <v>27729</v>
      </c>
      <c r="B23" s="23" t="s">
        <v>34</v>
      </c>
      <c r="C23" s="24">
        <v>532.8</v>
      </c>
    </row>
    <row r="24" spans="1:3" ht="12.75">
      <c r="A24" s="25">
        <v>27760</v>
      </c>
      <c r="B24" s="23" t="s">
        <v>34</v>
      </c>
      <c r="C24" s="24">
        <v>532.8</v>
      </c>
    </row>
    <row r="25" spans="1:3" ht="12.75">
      <c r="A25" s="25">
        <v>27791</v>
      </c>
      <c r="B25" s="23" t="s">
        <v>34</v>
      </c>
      <c r="C25" s="24">
        <v>532.8</v>
      </c>
    </row>
    <row r="26" spans="1:3" ht="12.75">
      <c r="A26" s="25">
        <v>27820</v>
      </c>
      <c r="B26" s="23" t="s">
        <v>34</v>
      </c>
      <c r="C26" s="24">
        <v>532.8</v>
      </c>
    </row>
    <row r="27" spans="1:3" ht="12.75">
      <c r="A27" s="25">
        <v>27851</v>
      </c>
      <c r="B27" s="23" t="s">
        <v>34</v>
      </c>
      <c r="C27" s="24">
        <v>532.8</v>
      </c>
    </row>
    <row r="28" spans="1:3" ht="12.75">
      <c r="A28" s="25">
        <v>27881</v>
      </c>
      <c r="B28" s="23" t="s">
        <v>34</v>
      </c>
      <c r="C28" s="24">
        <v>768</v>
      </c>
    </row>
    <row r="29" spans="1:3" ht="12.75">
      <c r="A29" s="25">
        <v>27912</v>
      </c>
      <c r="B29" s="23" t="s">
        <v>34</v>
      </c>
      <c r="C29" s="24">
        <v>768</v>
      </c>
    </row>
    <row r="30" spans="1:3" ht="12.75">
      <c r="A30" s="25">
        <v>27942</v>
      </c>
      <c r="B30" s="23" t="s">
        <v>34</v>
      </c>
      <c r="C30" s="24">
        <v>768</v>
      </c>
    </row>
    <row r="31" spans="1:3" ht="12.75">
      <c r="A31" s="25">
        <v>27973</v>
      </c>
      <c r="B31" s="23" t="s">
        <v>34</v>
      </c>
      <c r="C31" s="24">
        <v>768</v>
      </c>
    </row>
    <row r="32" spans="1:3" ht="12.75">
      <c r="A32" s="25">
        <v>28004</v>
      </c>
      <c r="B32" s="23" t="s">
        <v>34</v>
      </c>
      <c r="C32" s="24">
        <v>768</v>
      </c>
    </row>
    <row r="33" spans="1:3" ht="12.75">
      <c r="A33" s="25">
        <v>28034</v>
      </c>
      <c r="B33" s="23" t="s">
        <v>34</v>
      </c>
      <c r="C33" s="24">
        <v>768</v>
      </c>
    </row>
    <row r="34" spans="1:3" ht="12.75">
      <c r="A34" s="25">
        <v>28065</v>
      </c>
      <c r="B34" s="23" t="s">
        <v>34</v>
      </c>
      <c r="C34" s="24">
        <v>768</v>
      </c>
    </row>
    <row r="35" spans="1:3" ht="12.75">
      <c r="A35" s="25">
        <v>28095</v>
      </c>
      <c r="B35" s="23" t="s">
        <v>34</v>
      </c>
      <c r="C35" s="24">
        <v>768</v>
      </c>
    </row>
    <row r="36" spans="1:3" ht="12.75">
      <c r="A36" s="25">
        <v>28126</v>
      </c>
      <c r="B36" s="23" t="s">
        <v>34</v>
      </c>
      <c r="C36" s="24">
        <v>768</v>
      </c>
    </row>
    <row r="37" spans="1:3" ht="12.75">
      <c r="A37" s="25">
        <v>28157</v>
      </c>
      <c r="B37" s="23" t="s">
        <v>34</v>
      </c>
      <c r="C37" s="24">
        <v>768</v>
      </c>
    </row>
    <row r="38" spans="1:3" ht="12.75">
      <c r="A38" s="25">
        <v>28185</v>
      </c>
      <c r="B38" s="23" t="s">
        <v>34</v>
      </c>
      <c r="C38" s="24">
        <v>768</v>
      </c>
    </row>
    <row r="39" spans="1:3" ht="12.75">
      <c r="A39" s="25">
        <v>28216</v>
      </c>
      <c r="B39" s="23" t="s">
        <v>34</v>
      </c>
      <c r="C39" s="24">
        <v>768</v>
      </c>
    </row>
    <row r="40" spans="1:3" ht="12.75">
      <c r="A40" s="25">
        <v>28246</v>
      </c>
      <c r="B40" s="23" t="s">
        <v>34</v>
      </c>
      <c r="C40" s="24">
        <v>1106.4</v>
      </c>
    </row>
    <row r="41" spans="1:3" ht="12.75">
      <c r="A41" s="25">
        <v>28277</v>
      </c>
      <c r="B41" s="23" t="s">
        <v>34</v>
      </c>
      <c r="C41" s="24">
        <v>1106.4</v>
      </c>
    </row>
    <row r="42" spans="1:3" ht="12.75">
      <c r="A42" s="25">
        <v>28307</v>
      </c>
      <c r="B42" s="23" t="s">
        <v>34</v>
      </c>
      <c r="C42" s="24">
        <v>1106.4</v>
      </c>
    </row>
    <row r="43" spans="1:3" ht="12.75">
      <c r="A43" s="25">
        <v>28338</v>
      </c>
      <c r="B43" s="23" t="s">
        <v>34</v>
      </c>
      <c r="C43" s="24">
        <v>1106.4</v>
      </c>
    </row>
    <row r="44" spans="1:3" ht="12.75">
      <c r="A44" s="25">
        <v>28369</v>
      </c>
      <c r="B44" s="23" t="s">
        <v>34</v>
      </c>
      <c r="C44" s="24">
        <v>1106.4</v>
      </c>
    </row>
    <row r="45" spans="1:3" ht="12.75">
      <c r="A45" s="25">
        <v>28399</v>
      </c>
      <c r="B45" s="23" t="s">
        <v>34</v>
      </c>
      <c r="C45" s="24">
        <v>1106.4</v>
      </c>
    </row>
    <row r="46" spans="1:3" ht="12.75">
      <c r="A46" s="25">
        <v>28430</v>
      </c>
      <c r="B46" s="23" t="s">
        <v>34</v>
      </c>
      <c r="C46" s="24">
        <v>1106.4</v>
      </c>
    </row>
    <row r="47" spans="1:3" ht="12.75">
      <c r="A47" s="25">
        <v>28460</v>
      </c>
      <c r="B47" s="23" t="s">
        <v>34</v>
      </c>
      <c r="C47" s="24">
        <v>1106.4</v>
      </c>
    </row>
    <row r="48" spans="1:3" ht="12.75">
      <c r="A48" s="25">
        <v>28491</v>
      </c>
      <c r="B48" s="23" t="s">
        <v>34</v>
      </c>
      <c r="C48" s="24">
        <v>1106.4</v>
      </c>
    </row>
    <row r="49" spans="1:3" ht="12.75">
      <c r="A49" s="25">
        <v>28522</v>
      </c>
      <c r="B49" s="23" t="s">
        <v>34</v>
      </c>
      <c r="C49" s="24">
        <v>1106.4</v>
      </c>
    </row>
    <row r="50" spans="1:3" ht="12.75">
      <c r="A50" s="25">
        <v>28550</v>
      </c>
      <c r="B50" s="23" t="s">
        <v>34</v>
      </c>
      <c r="C50" s="24">
        <v>1106.4</v>
      </c>
    </row>
    <row r="51" spans="1:3" ht="12.75">
      <c r="A51" s="25">
        <v>28581</v>
      </c>
      <c r="B51" s="23" t="s">
        <v>34</v>
      </c>
      <c r="C51" s="24">
        <v>1106.4</v>
      </c>
    </row>
    <row r="52" spans="1:3" ht="12.75">
      <c r="A52" s="25">
        <v>28611</v>
      </c>
      <c r="B52" s="23" t="s">
        <v>34</v>
      </c>
      <c r="C52" s="24">
        <v>1560</v>
      </c>
    </row>
    <row r="53" spans="1:3" ht="12.75">
      <c r="A53" s="25">
        <v>28642</v>
      </c>
      <c r="B53" s="23" t="s">
        <v>34</v>
      </c>
      <c r="C53" s="24">
        <v>1560</v>
      </c>
    </row>
    <row r="54" spans="1:3" ht="12.75">
      <c r="A54" s="25">
        <v>28672</v>
      </c>
      <c r="B54" s="23" t="s">
        <v>34</v>
      </c>
      <c r="C54" s="24">
        <v>1560</v>
      </c>
    </row>
    <row r="55" spans="1:3" ht="12.75">
      <c r="A55" s="25">
        <v>28703</v>
      </c>
      <c r="B55" s="23" t="s">
        <v>34</v>
      </c>
      <c r="C55" s="24">
        <v>1560</v>
      </c>
    </row>
    <row r="56" spans="1:3" ht="12.75">
      <c r="A56" s="25">
        <v>28734</v>
      </c>
      <c r="B56" s="23" t="s">
        <v>34</v>
      </c>
      <c r="C56" s="24">
        <v>1560</v>
      </c>
    </row>
    <row r="57" spans="1:3" ht="12.75">
      <c r="A57" s="25">
        <v>28764</v>
      </c>
      <c r="B57" s="23" t="s">
        <v>34</v>
      </c>
      <c r="C57" s="24">
        <v>1560</v>
      </c>
    </row>
    <row r="58" spans="1:3" ht="12.75">
      <c r="A58" s="25">
        <v>28795</v>
      </c>
      <c r="B58" s="23" t="s">
        <v>34</v>
      </c>
      <c r="C58" s="24">
        <v>1560</v>
      </c>
    </row>
    <row r="59" spans="1:3" ht="12.75">
      <c r="A59" s="25">
        <v>28825</v>
      </c>
      <c r="B59" s="23" t="s">
        <v>34</v>
      </c>
      <c r="C59" s="24">
        <v>1560</v>
      </c>
    </row>
    <row r="60" spans="1:3" ht="12.75">
      <c r="A60" s="25">
        <v>28856</v>
      </c>
      <c r="B60" s="23" t="s">
        <v>34</v>
      </c>
      <c r="C60" s="24">
        <v>1560</v>
      </c>
    </row>
    <row r="61" spans="1:3" ht="12.75">
      <c r="A61" s="25">
        <v>28887</v>
      </c>
      <c r="B61" s="23" t="s">
        <v>34</v>
      </c>
      <c r="C61" s="24">
        <v>1560</v>
      </c>
    </row>
    <row r="62" spans="1:3" ht="12.75">
      <c r="A62" s="25">
        <v>28915</v>
      </c>
      <c r="B62" s="23" t="s">
        <v>34</v>
      </c>
      <c r="C62" s="24">
        <v>1560</v>
      </c>
    </row>
    <row r="63" spans="1:3" ht="12.75">
      <c r="A63" s="25">
        <v>28946</v>
      </c>
      <c r="B63" s="23" t="s">
        <v>34</v>
      </c>
      <c r="C63" s="24">
        <v>1560</v>
      </c>
    </row>
    <row r="64" spans="1:3" ht="12.75">
      <c r="A64" s="25">
        <v>28976</v>
      </c>
      <c r="B64" s="23" t="s">
        <v>34</v>
      </c>
      <c r="C64" s="24">
        <v>2268</v>
      </c>
    </row>
    <row r="65" spans="1:3" ht="12.75">
      <c r="A65" s="25">
        <v>29007</v>
      </c>
      <c r="B65" s="23" t="s">
        <v>34</v>
      </c>
      <c r="C65" s="24">
        <v>2268</v>
      </c>
    </row>
    <row r="66" spans="1:3" ht="12.75">
      <c r="A66" s="25">
        <v>29037</v>
      </c>
      <c r="B66" s="23" t="s">
        <v>34</v>
      </c>
      <c r="C66" s="24">
        <v>2268</v>
      </c>
    </row>
    <row r="67" spans="1:3" ht="12.75">
      <c r="A67" s="25">
        <v>29068</v>
      </c>
      <c r="B67" s="23" t="s">
        <v>34</v>
      </c>
      <c r="C67" s="24">
        <v>2268</v>
      </c>
    </row>
    <row r="68" spans="1:3" ht="12.75">
      <c r="A68" s="25">
        <v>29099</v>
      </c>
      <c r="B68" s="23" t="s">
        <v>34</v>
      </c>
      <c r="C68" s="24">
        <v>2268</v>
      </c>
    </row>
    <row r="69" spans="1:3" ht="12.75">
      <c r="A69" s="25">
        <v>29129</v>
      </c>
      <c r="B69" s="23" t="s">
        <v>34</v>
      </c>
      <c r="C69" s="24">
        <v>2268</v>
      </c>
    </row>
    <row r="70" spans="1:3" ht="12.75">
      <c r="A70" s="25">
        <v>29160</v>
      </c>
      <c r="B70" s="23" t="s">
        <v>34</v>
      </c>
      <c r="C70" s="24">
        <v>2932.8</v>
      </c>
    </row>
    <row r="71" spans="1:3" ht="12.75">
      <c r="A71" s="25">
        <v>29190</v>
      </c>
      <c r="B71" s="23" t="s">
        <v>34</v>
      </c>
      <c r="C71" s="24">
        <v>2932.8</v>
      </c>
    </row>
    <row r="72" spans="1:3" ht="12.75">
      <c r="A72" s="25">
        <v>29221</v>
      </c>
      <c r="B72" s="23" t="s">
        <v>34</v>
      </c>
      <c r="C72" s="24">
        <v>2932.8</v>
      </c>
    </row>
    <row r="73" spans="1:3" ht="12.75">
      <c r="A73" s="25">
        <v>29252</v>
      </c>
      <c r="B73" s="23" t="s">
        <v>34</v>
      </c>
      <c r="C73" s="24">
        <v>2932.8</v>
      </c>
    </row>
    <row r="74" spans="1:3" ht="12.75">
      <c r="A74" s="25">
        <v>29281</v>
      </c>
      <c r="B74" s="23" t="s">
        <v>34</v>
      </c>
      <c r="C74" s="24">
        <v>2932.8</v>
      </c>
    </row>
    <row r="75" spans="1:3" ht="12.75">
      <c r="A75" s="25">
        <v>29312</v>
      </c>
      <c r="B75" s="23" t="s">
        <v>34</v>
      </c>
      <c r="C75" s="24">
        <v>2932.8</v>
      </c>
    </row>
    <row r="76" spans="1:3" ht="12.75">
      <c r="A76" s="25">
        <v>29342</v>
      </c>
      <c r="B76" s="23" t="s">
        <v>34</v>
      </c>
      <c r="C76" s="24">
        <v>4149.6</v>
      </c>
    </row>
    <row r="77" spans="1:3" ht="12.75">
      <c r="A77" s="25">
        <v>29373</v>
      </c>
      <c r="B77" s="23" t="s">
        <v>34</v>
      </c>
      <c r="C77" s="24">
        <v>4149.6</v>
      </c>
    </row>
    <row r="78" spans="1:3" ht="12.75">
      <c r="A78" s="25">
        <v>29403</v>
      </c>
      <c r="B78" s="23" t="s">
        <v>34</v>
      </c>
      <c r="C78" s="24">
        <v>4149.6</v>
      </c>
    </row>
    <row r="79" spans="1:3" ht="12.75">
      <c r="A79" s="25">
        <v>29434</v>
      </c>
      <c r="B79" s="23" t="s">
        <v>34</v>
      </c>
      <c r="C79" s="24">
        <v>4149.6</v>
      </c>
    </row>
    <row r="80" spans="1:3" ht="12.75">
      <c r="A80" s="25">
        <v>29465</v>
      </c>
      <c r="B80" s="23" t="s">
        <v>34</v>
      </c>
      <c r="C80" s="24">
        <v>4149.6</v>
      </c>
    </row>
    <row r="81" spans="1:3" ht="12.75">
      <c r="A81" s="25">
        <v>29495</v>
      </c>
      <c r="B81" s="23" t="s">
        <v>34</v>
      </c>
      <c r="C81" s="24">
        <v>4149.6</v>
      </c>
    </row>
    <row r="82" spans="1:3" ht="12.75">
      <c r="A82" s="25">
        <v>29526</v>
      </c>
      <c r="B82" s="23" t="s">
        <v>34</v>
      </c>
      <c r="C82" s="24">
        <v>5788.8</v>
      </c>
    </row>
    <row r="83" spans="1:3" ht="12.75">
      <c r="A83" s="25">
        <v>29556</v>
      </c>
      <c r="B83" s="23" t="s">
        <v>34</v>
      </c>
      <c r="C83" s="24">
        <v>5788.8</v>
      </c>
    </row>
    <row r="84" spans="1:3" ht="12.75">
      <c r="A84" s="25">
        <v>29587</v>
      </c>
      <c r="B84" s="23" t="s">
        <v>34</v>
      </c>
      <c r="C84" s="24">
        <v>5788.8</v>
      </c>
    </row>
    <row r="85" spans="1:3" ht="12.75">
      <c r="A85" s="25">
        <v>29618</v>
      </c>
      <c r="B85" s="23" t="s">
        <v>34</v>
      </c>
      <c r="C85" s="24">
        <v>5788.8</v>
      </c>
    </row>
    <row r="86" spans="1:3" ht="12.75">
      <c r="A86" s="25">
        <v>29646</v>
      </c>
      <c r="B86" s="23" t="s">
        <v>34</v>
      </c>
      <c r="C86" s="24">
        <v>5788.8</v>
      </c>
    </row>
    <row r="87" spans="1:3" ht="12.75">
      <c r="A87" s="25">
        <v>29677</v>
      </c>
      <c r="B87" s="23" t="s">
        <v>34</v>
      </c>
      <c r="C87" s="24">
        <v>5788.8</v>
      </c>
    </row>
    <row r="88" spans="1:3" ht="12.75">
      <c r="A88" s="25">
        <v>29707</v>
      </c>
      <c r="B88" s="23" t="s">
        <v>34</v>
      </c>
      <c r="C88" s="24">
        <v>8464.8</v>
      </c>
    </row>
    <row r="89" spans="1:3" ht="12.75">
      <c r="A89" s="25">
        <v>29738</v>
      </c>
      <c r="B89" s="23" t="s">
        <v>34</v>
      </c>
      <c r="C89" s="24">
        <v>8464.8</v>
      </c>
    </row>
    <row r="90" spans="1:3" ht="12.75">
      <c r="A90" s="25">
        <v>29768</v>
      </c>
      <c r="B90" s="23" t="s">
        <v>34</v>
      </c>
      <c r="C90" s="24">
        <v>8464.8</v>
      </c>
    </row>
    <row r="91" spans="1:3" ht="12.75">
      <c r="A91" s="25">
        <v>29799</v>
      </c>
      <c r="B91" s="23" t="s">
        <v>34</v>
      </c>
      <c r="C91" s="24">
        <v>8464.8</v>
      </c>
    </row>
    <row r="92" spans="1:3" ht="12.75">
      <c r="A92" s="25">
        <v>29830</v>
      </c>
      <c r="B92" s="23" t="s">
        <v>34</v>
      </c>
      <c r="C92" s="24">
        <v>8464.8</v>
      </c>
    </row>
    <row r="93" spans="1:3" ht="12.75">
      <c r="A93" s="25">
        <v>29860</v>
      </c>
      <c r="B93" s="23" t="s">
        <v>34</v>
      </c>
      <c r="C93" s="24">
        <v>8464.8</v>
      </c>
    </row>
    <row r="94" spans="1:3" ht="12.75">
      <c r="A94" s="25">
        <v>29891</v>
      </c>
      <c r="B94" s="23" t="s">
        <v>34</v>
      </c>
      <c r="C94" s="24">
        <v>11928</v>
      </c>
    </row>
    <row r="95" spans="1:3" ht="12.75">
      <c r="A95" s="25">
        <v>29921</v>
      </c>
      <c r="B95" s="23" t="s">
        <v>34</v>
      </c>
      <c r="C95" s="24">
        <v>11928</v>
      </c>
    </row>
    <row r="96" spans="1:3" ht="12.75">
      <c r="A96" s="25">
        <v>29952</v>
      </c>
      <c r="B96" s="23" t="s">
        <v>34</v>
      </c>
      <c r="C96" s="24">
        <v>11928</v>
      </c>
    </row>
    <row r="97" spans="1:3" ht="12.75">
      <c r="A97" s="25">
        <v>29983</v>
      </c>
      <c r="B97" s="23" t="s">
        <v>34</v>
      </c>
      <c r="C97" s="24">
        <v>11928</v>
      </c>
    </row>
    <row r="98" spans="1:3" ht="12.75">
      <c r="A98" s="25">
        <v>30011</v>
      </c>
      <c r="B98" s="23" t="s">
        <v>34</v>
      </c>
      <c r="C98" s="24">
        <v>11928</v>
      </c>
    </row>
    <row r="99" spans="1:3" ht="12.75">
      <c r="A99" s="25">
        <v>30042</v>
      </c>
      <c r="B99" s="23" t="s">
        <v>34</v>
      </c>
      <c r="C99" s="24">
        <v>11928</v>
      </c>
    </row>
    <row r="100" spans="1:3" ht="12.75">
      <c r="A100" s="25">
        <v>30072</v>
      </c>
      <c r="B100" s="23" t="s">
        <v>34</v>
      </c>
      <c r="C100" s="24">
        <v>16608</v>
      </c>
    </row>
    <row r="101" spans="1:3" ht="12.75">
      <c r="A101" s="25">
        <v>30103</v>
      </c>
      <c r="B101" s="23" t="s">
        <v>34</v>
      </c>
      <c r="C101" s="24">
        <v>16608</v>
      </c>
    </row>
    <row r="102" spans="1:3" ht="12.75">
      <c r="A102" s="25">
        <v>30133</v>
      </c>
      <c r="B102" s="23" t="s">
        <v>34</v>
      </c>
      <c r="C102" s="24">
        <v>16608</v>
      </c>
    </row>
    <row r="103" spans="1:3" ht="12.75">
      <c r="A103" s="25">
        <v>30164</v>
      </c>
      <c r="B103" s="23" t="s">
        <v>34</v>
      </c>
      <c r="C103" s="24">
        <v>16608</v>
      </c>
    </row>
    <row r="104" spans="1:3" ht="12.75">
      <c r="A104" s="25">
        <v>30195</v>
      </c>
      <c r="B104" s="23" t="s">
        <v>34</v>
      </c>
      <c r="C104" s="24">
        <v>16608</v>
      </c>
    </row>
    <row r="105" spans="1:3" ht="12.75">
      <c r="A105" s="25">
        <v>30225</v>
      </c>
      <c r="B105" s="23" t="s">
        <v>34</v>
      </c>
      <c r="C105" s="24">
        <v>16608</v>
      </c>
    </row>
    <row r="106" spans="1:3" ht="12.75">
      <c r="A106" s="25">
        <v>30256</v>
      </c>
      <c r="B106" s="23" t="s">
        <v>34</v>
      </c>
      <c r="C106" s="24">
        <v>23568</v>
      </c>
    </row>
    <row r="107" spans="1:3" ht="12.75">
      <c r="A107" s="25">
        <v>30286</v>
      </c>
      <c r="B107" s="23" t="s">
        <v>34</v>
      </c>
      <c r="C107" s="24">
        <v>23568</v>
      </c>
    </row>
    <row r="108" spans="1:3" ht="12.75">
      <c r="A108" s="25">
        <v>30317</v>
      </c>
      <c r="B108" s="23" t="s">
        <v>34</v>
      </c>
      <c r="C108" s="24">
        <v>23568</v>
      </c>
    </row>
    <row r="109" spans="1:3" ht="12.75">
      <c r="A109" s="25">
        <v>30348</v>
      </c>
      <c r="B109" s="23" t="s">
        <v>34</v>
      </c>
      <c r="C109" s="24">
        <v>23568</v>
      </c>
    </row>
    <row r="110" spans="1:3" ht="12.75">
      <c r="A110" s="25">
        <v>30376</v>
      </c>
      <c r="B110" s="23" t="s">
        <v>34</v>
      </c>
      <c r="C110" s="24">
        <v>23568</v>
      </c>
    </row>
    <row r="111" spans="1:3" ht="12.75">
      <c r="A111" s="25">
        <v>30407</v>
      </c>
      <c r="B111" s="23" t="s">
        <v>34</v>
      </c>
      <c r="C111" s="24">
        <v>23568</v>
      </c>
    </row>
    <row r="112" spans="1:3" ht="12.75">
      <c r="A112" s="25">
        <v>30437</v>
      </c>
      <c r="B112" s="23" t="s">
        <v>34</v>
      </c>
      <c r="C112" s="24">
        <v>37776</v>
      </c>
    </row>
    <row r="113" spans="1:3" ht="12.75">
      <c r="A113" s="25">
        <v>30468</v>
      </c>
      <c r="B113" s="23" t="s">
        <v>34</v>
      </c>
      <c r="C113" s="24">
        <v>37776</v>
      </c>
    </row>
    <row r="114" spans="1:3" ht="12.75">
      <c r="A114" s="25">
        <v>30498</v>
      </c>
      <c r="B114" s="23" t="s">
        <v>34</v>
      </c>
      <c r="C114" s="24">
        <v>37776</v>
      </c>
    </row>
    <row r="115" spans="1:3" ht="12.75">
      <c r="A115" s="25">
        <v>30529</v>
      </c>
      <c r="B115" s="23" t="s">
        <v>34</v>
      </c>
      <c r="C115" s="24">
        <v>37776</v>
      </c>
    </row>
    <row r="116" spans="1:3" ht="12.75">
      <c r="A116" s="25">
        <v>30560</v>
      </c>
      <c r="B116" s="23" t="s">
        <v>34</v>
      </c>
      <c r="C116" s="24">
        <v>37776</v>
      </c>
    </row>
    <row r="117" spans="1:3" ht="12.75">
      <c r="A117" s="25">
        <v>30590</v>
      </c>
      <c r="B117" s="23" t="s">
        <v>34</v>
      </c>
      <c r="C117" s="24">
        <v>37776</v>
      </c>
    </row>
    <row r="118" spans="1:3" ht="12.75">
      <c r="A118" s="25">
        <v>30621</v>
      </c>
      <c r="B118" s="23" t="s">
        <v>34</v>
      </c>
      <c r="C118" s="24">
        <v>57120</v>
      </c>
    </row>
    <row r="119" spans="1:3" ht="12.75">
      <c r="A119" s="25">
        <v>30651</v>
      </c>
      <c r="B119" s="23" t="s">
        <v>34</v>
      </c>
      <c r="C119" s="24">
        <v>57120</v>
      </c>
    </row>
    <row r="120" spans="1:3" ht="12.75">
      <c r="A120" s="25">
        <v>30682</v>
      </c>
      <c r="B120" s="23" t="s">
        <v>34</v>
      </c>
      <c r="C120" s="24">
        <v>57120</v>
      </c>
    </row>
    <row r="121" spans="1:3" ht="12.75">
      <c r="A121" s="25">
        <v>30713</v>
      </c>
      <c r="B121" s="23" t="s">
        <v>34</v>
      </c>
      <c r="C121" s="24">
        <v>57120</v>
      </c>
    </row>
    <row r="122" spans="1:3" ht="12.75">
      <c r="A122" s="25">
        <v>30742</v>
      </c>
      <c r="B122" s="23" t="s">
        <v>34</v>
      </c>
      <c r="C122" s="24">
        <v>57120</v>
      </c>
    </row>
    <row r="123" spans="1:3" ht="12.75">
      <c r="A123" s="25">
        <v>30773</v>
      </c>
      <c r="B123" s="23" t="s">
        <v>34</v>
      </c>
      <c r="C123" s="24">
        <v>57120</v>
      </c>
    </row>
    <row r="124" spans="1:3" ht="12.75">
      <c r="A124" s="25">
        <v>30803</v>
      </c>
      <c r="B124" s="23" t="s">
        <v>34</v>
      </c>
      <c r="C124" s="24">
        <v>97176</v>
      </c>
    </row>
    <row r="125" spans="1:3" ht="12.75">
      <c r="A125" s="25">
        <v>30834</v>
      </c>
      <c r="B125" s="23" t="s">
        <v>34</v>
      </c>
      <c r="C125" s="24">
        <v>97176</v>
      </c>
    </row>
    <row r="126" spans="1:3" ht="12.75">
      <c r="A126" s="25">
        <v>30864</v>
      </c>
      <c r="B126" s="23" t="s">
        <v>34</v>
      </c>
      <c r="C126" s="24">
        <v>97176</v>
      </c>
    </row>
    <row r="127" spans="1:3" ht="12.75">
      <c r="A127" s="25">
        <v>30895</v>
      </c>
      <c r="B127" s="23" t="s">
        <v>34</v>
      </c>
      <c r="C127" s="24">
        <v>97176</v>
      </c>
    </row>
    <row r="128" spans="1:3" ht="12.75">
      <c r="A128" s="25">
        <v>30926</v>
      </c>
      <c r="B128" s="23" t="s">
        <v>34</v>
      </c>
      <c r="C128" s="24">
        <v>97176</v>
      </c>
    </row>
    <row r="129" spans="1:3" ht="12.75">
      <c r="A129" s="25">
        <v>30956</v>
      </c>
      <c r="B129" s="23" t="s">
        <v>34</v>
      </c>
      <c r="C129" s="24">
        <v>97176</v>
      </c>
    </row>
    <row r="130" spans="1:3" ht="12.75">
      <c r="A130" s="25">
        <v>30987</v>
      </c>
      <c r="B130" s="23" t="s">
        <v>34</v>
      </c>
      <c r="C130" s="24">
        <v>166560</v>
      </c>
    </row>
    <row r="131" spans="1:3" ht="12.75">
      <c r="A131" s="25">
        <v>31017</v>
      </c>
      <c r="B131" s="23" t="s">
        <v>34</v>
      </c>
      <c r="C131" s="24">
        <v>166560</v>
      </c>
    </row>
    <row r="132" spans="1:3" ht="12.75">
      <c r="A132" s="25">
        <v>31048</v>
      </c>
      <c r="B132" s="23" t="s">
        <v>34</v>
      </c>
      <c r="C132" s="24">
        <v>166560</v>
      </c>
    </row>
    <row r="133" spans="1:3" ht="12.75">
      <c r="A133" s="25">
        <v>31079</v>
      </c>
      <c r="B133" s="23" t="s">
        <v>34</v>
      </c>
      <c r="C133" s="24">
        <v>166560</v>
      </c>
    </row>
    <row r="134" spans="1:3" ht="12.75">
      <c r="A134" s="25">
        <v>31107</v>
      </c>
      <c r="B134" s="23" t="s">
        <v>34</v>
      </c>
      <c r="C134" s="24">
        <v>166560</v>
      </c>
    </row>
    <row r="135" spans="1:3" ht="12.75">
      <c r="A135" s="25">
        <v>31138</v>
      </c>
      <c r="B135" s="23" t="s">
        <v>34</v>
      </c>
      <c r="C135" s="24">
        <v>166560</v>
      </c>
    </row>
    <row r="136" spans="1:3" ht="12.75">
      <c r="A136" s="25">
        <v>31168</v>
      </c>
      <c r="B136" s="23" t="s">
        <v>34</v>
      </c>
      <c r="C136" s="24">
        <v>333120</v>
      </c>
    </row>
    <row r="137" spans="1:3" ht="12.75">
      <c r="A137" s="25">
        <v>31199</v>
      </c>
      <c r="B137" s="23" t="s">
        <v>34</v>
      </c>
      <c r="C137" s="24">
        <v>333120</v>
      </c>
    </row>
    <row r="138" spans="1:3" ht="12.75">
      <c r="A138" s="25">
        <v>31229</v>
      </c>
      <c r="B138" s="23" t="s">
        <v>34</v>
      </c>
      <c r="C138" s="24">
        <v>333120</v>
      </c>
    </row>
    <row r="139" spans="1:3" ht="12.75">
      <c r="A139" s="25">
        <v>31260</v>
      </c>
      <c r="B139" s="23" t="s">
        <v>34</v>
      </c>
      <c r="C139" s="24">
        <v>333120</v>
      </c>
    </row>
    <row r="140" spans="1:3" ht="12.75">
      <c r="A140" s="25">
        <v>31291</v>
      </c>
      <c r="B140" s="23" t="s">
        <v>34</v>
      </c>
      <c r="C140" s="24">
        <v>333120</v>
      </c>
    </row>
    <row r="141" spans="1:3" ht="12.75">
      <c r="A141" s="25">
        <v>31321</v>
      </c>
      <c r="B141" s="23" t="s">
        <v>34</v>
      </c>
      <c r="C141" s="24">
        <v>333120</v>
      </c>
    </row>
    <row r="142" spans="1:3" ht="12.75">
      <c r="A142" s="25">
        <v>31352</v>
      </c>
      <c r="B142" s="23" t="s">
        <v>34</v>
      </c>
      <c r="C142" s="24">
        <v>600000</v>
      </c>
    </row>
    <row r="143" spans="1:3" ht="12.75">
      <c r="A143" s="25">
        <v>31382</v>
      </c>
      <c r="B143" s="23" t="s">
        <v>34</v>
      </c>
      <c r="C143" s="24">
        <v>600000</v>
      </c>
    </row>
    <row r="144" spans="1:3" ht="12.75">
      <c r="A144" s="25">
        <v>31413</v>
      </c>
      <c r="B144" s="23" t="s">
        <v>34</v>
      </c>
      <c r="C144" s="24">
        <v>600000</v>
      </c>
    </row>
    <row r="145" spans="1:3" ht="12.75">
      <c r="A145" s="25">
        <v>31444</v>
      </c>
      <c r="B145" s="23" t="s">
        <v>34</v>
      </c>
      <c r="C145" s="24">
        <v>600000</v>
      </c>
    </row>
    <row r="146" spans="1:3" ht="12.75">
      <c r="A146" s="25">
        <v>31472</v>
      </c>
      <c r="B146" s="23" t="s">
        <v>35</v>
      </c>
      <c r="C146" s="24">
        <v>804</v>
      </c>
    </row>
    <row r="147" spans="1:3" ht="12.75">
      <c r="A147" s="25">
        <v>31503</v>
      </c>
      <c r="B147" s="23" t="s">
        <v>35</v>
      </c>
      <c r="C147" s="24">
        <v>804</v>
      </c>
    </row>
    <row r="148" spans="1:3" ht="12.75">
      <c r="A148" s="25">
        <v>31533</v>
      </c>
      <c r="B148" s="23" t="s">
        <v>35</v>
      </c>
      <c r="C148" s="24">
        <v>804</v>
      </c>
    </row>
    <row r="149" spans="1:3" ht="12.75">
      <c r="A149" s="25">
        <v>31564</v>
      </c>
      <c r="B149" s="23" t="s">
        <v>35</v>
      </c>
      <c r="C149" s="24">
        <v>804</v>
      </c>
    </row>
    <row r="150" spans="1:3" ht="12.75">
      <c r="A150" s="25">
        <v>31594</v>
      </c>
      <c r="B150" s="23" t="s">
        <v>35</v>
      </c>
      <c r="C150" s="24">
        <v>804</v>
      </c>
    </row>
    <row r="151" spans="1:3" ht="12.75">
      <c r="A151" s="25">
        <v>31625</v>
      </c>
      <c r="B151" s="23" t="s">
        <v>35</v>
      </c>
      <c r="C151" s="24">
        <v>804</v>
      </c>
    </row>
    <row r="152" spans="1:3" ht="12.75">
      <c r="A152" s="25">
        <v>31656</v>
      </c>
      <c r="B152" s="23" t="s">
        <v>35</v>
      </c>
      <c r="C152" s="24">
        <v>804</v>
      </c>
    </row>
    <row r="153" spans="1:3" ht="12.75">
      <c r="A153" s="25">
        <v>31686</v>
      </c>
      <c r="B153" s="23" t="s">
        <v>35</v>
      </c>
      <c r="C153" s="24">
        <v>804</v>
      </c>
    </row>
    <row r="154" spans="1:3" ht="12.75">
      <c r="A154" s="25">
        <v>31717</v>
      </c>
      <c r="B154" s="23" t="s">
        <v>35</v>
      </c>
      <c r="C154" s="24">
        <v>804</v>
      </c>
    </row>
    <row r="155" spans="1:3" ht="12.75">
      <c r="A155" s="25">
        <v>31747</v>
      </c>
      <c r="B155" s="23" t="s">
        <v>35</v>
      </c>
      <c r="C155" s="24">
        <v>804</v>
      </c>
    </row>
    <row r="156" spans="1:3" ht="12.75">
      <c r="A156" s="25">
        <v>31778</v>
      </c>
      <c r="B156" s="23" t="s">
        <v>35</v>
      </c>
      <c r="C156" s="24">
        <v>964.8</v>
      </c>
    </row>
    <row r="157" spans="1:3" ht="12.75">
      <c r="A157" s="25">
        <v>31809</v>
      </c>
      <c r="B157" s="23" t="s">
        <v>35</v>
      </c>
      <c r="C157" s="24">
        <v>964.8</v>
      </c>
    </row>
    <row r="158" spans="1:3" ht="12.75">
      <c r="A158" s="25">
        <v>31837</v>
      </c>
      <c r="B158" s="23" t="s">
        <v>35</v>
      </c>
      <c r="C158" s="24">
        <v>1368</v>
      </c>
    </row>
    <row r="159" spans="1:3" ht="12.75">
      <c r="A159" s="25">
        <v>31868</v>
      </c>
      <c r="B159" s="23" t="s">
        <v>35</v>
      </c>
      <c r="C159" s="24">
        <v>1368</v>
      </c>
    </row>
    <row r="160" spans="1:3" ht="12.75">
      <c r="A160" s="25">
        <v>31898</v>
      </c>
      <c r="B160" s="23" t="s">
        <v>35</v>
      </c>
      <c r="C160" s="24">
        <v>1641.6</v>
      </c>
    </row>
    <row r="161" spans="1:3" ht="12.75">
      <c r="A161" s="25">
        <v>31929</v>
      </c>
      <c r="B161" s="23" t="s">
        <v>35</v>
      </c>
      <c r="C161" s="24">
        <v>1969.82</v>
      </c>
    </row>
    <row r="162" spans="1:3" ht="12.75">
      <c r="A162" s="25">
        <v>31959</v>
      </c>
      <c r="B162" s="23" t="s">
        <v>35</v>
      </c>
      <c r="C162" s="24">
        <v>1969.82</v>
      </c>
    </row>
    <row r="163" spans="1:3" ht="12.75">
      <c r="A163" s="25">
        <v>31990</v>
      </c>
      <c r="B163" s="23" t="s">
        <v>35</v>
      </c>
      <c r="C163" s="24">
        <v>1970</v>
      </c>
    </row>
    <row r="164" spans="1:6" ht="12.75">
      <c r="A164" s="25">
        <v>32021</v>
      </c>
      <c r="B164" s="23" t="s">
        <v>35</v>
      </c>
      <c r="C164" s="24">
        <v>2400</v>
      </c>
      <c r="F164" t="s">
        <v>20</v>
      </c>
    </row>
    <row r="165" spans="1:3" ht="12.75">
      <c r="A165" s="25">
        <v>32051</v>
      </c>
      <c r="B165" s="23" t="s">
        <v>35</v>
      </c>
      <c r="C165" s="24">
        <v>2640</v>
      </c>
    </row>
    <row r="166" spans="1:3" ht="12.75">
      <c r="A166" s="25">
        <v>32082</v>
      </c>
      <c r="B166" s="23" t="s">
        <v>35</v>
      </c>
      <c r="C166" s="24">
        <v>3000</v>
      </c>
    </row>
    <row r="167" spans="1:3" ht="12.75">
      <c r="A167" s="25">
        <v>32112</v>
      </c>
      <c r="B167" s="23" t="s">
        <v>35</v>
      </c>
      <c r="C167" s="24">
        <v>3600</v>
      </c>
    </row>
    <row r="168" spans="1:3" ht="12.75">
      <c r="A168" s="25">
        <v>32143</v>
      </c>
      <c r="B168" s="23" t="s">
        <v>35</v>
      </c>
      <c r="C168" s="24">
        <v>4500</v>
      </c>
    </row>
    <row r="169" spans="1:3" ht="12.75">
      <c r="A169" s="25">
        <v>32174</v>
      </c>
      <c r="B169" s="23" t="s">
        <v>35</v>
      </c>
      <c r="C169" s="24">
        <v>5280</v>
      </c>
    </row>
    <row r="170" spans="1:3" ht="12.75">
      <c r="A170" s="25">
        <v>32203</v>
      </c>
      <c r="B170" s="23" t="s">
        <v>35</v>
      </c>
      <c r="C170" s="24">
        <v>6240</v>
      </c>
    </row>
    <row r="171" spans="1:3" ht="12.75">
      <c r="A171" s="25">
        <v>32234</v>
      </c>
      <c r="B171" s="23" t="s">
        <v>35</v>
      </c>
      <c r="C171" s="24">
        <v>7260</v>
      </c>
    </row>
    <row r="172" spans="1:3" ht="12.75">
      <c r="A172" s="25">
        <v>32264</v>
      </c>
      <c r="B172" s="23" t="s">
        <v>35</v>
      </c>
      <c r="C172" s="24">
        <v>8712</v>
      </c>
    </row>
    <row r="173" spans="1:3" ht="12.75">
      <c r="A173" s="25">
        <v>32295</v>
      </c>
      <c r="B173" s="23" t="s">
        <v>35</v>
      </c>
      <c r="C173" s="24">
        <v>10368</v>
      </c>
    </row>
    <row r="174" spans="1:3" ht="12.75">
      <c r="A174" s="25">
        <v>32325</v>
      </c>
      <c r="B174" s="23" t="s">
        <v>35</v>
      </c>
      <c r="C174" s="24">
        <v>12444</v>
      </c>
    </row>
    <row r="175" spans="1:3" ht="12.75">
      <c r="A175" s="25">
        <v>32356</v>
      </c>
      <c r="B175" s="23" t="s">
        <v>35</v>
      </c>
      <c r="C175" s="24">
        <v>15552</v>
      </c>
    </row>
    <row r="176" spans="1:3" ht="12.75">
      <c r="A176" s="25">
        <v>32387</v>
      </c>
      <c r="B176" s="23" t="s">
        <v>35</v>
      </c>
      <c r="C176" s="24">
        <v>18960</v>
      </c>
    </row>
    <row r="177" spans="1:3" ht="12.75">
      <c r="A177" s="25">
        <v>32417</v>
      </c>
      <c r="B177" s="23" t="s">
        <v>35</v>
      </c>
      <c r="C177" s="24">
        <v>23700</v>
      </c>
    </row>
    <row r="178" spans="1:3" ht="12.75">
      <c r="A178" s="25">
        <v>32448</v>
      </c>
      <c r="B178" s="23" t="s">
        <v>35</v>
      </c>
      <c r="C178" s="24">
        <v>30800</v>
      </c>
    </row>
    <row r="179" spans="1:3" ht="12.75">
      <c r="A179" s="25">
        <v>32478</v>
      </c>
      <c r="B179" s="23" t="s">
        <v>35</v>
      </c>
      <c r="C179" s="24">
        <v>40425</v>
      </c>
    </row>
    <row r="180" spans="1:3" ht="12.75">
      <c r="A180" s="25">
        <v>32509</v>
      </c>
      <c r="B180" s="23" t="s">
        <v>35</v>
      </c>
      <c r="C180" s="24">
        <v>54374</v>
      </c>
    </row>
    <row r="181" spans="1:3" ht="12.75">
      <c r="A181" s="25">
        <v>32540</v>
      </c>
      <c r="B181" s="23" t="s">
        <v>36</v>
      </c>
      <c r="C181" s="24">
        <v>63.9</v>
      </c>
    </row>
    <row r="182" spans="1:3" ht="12.75">
      <c r="A182" s="25">
        <v>32568</v>
      </c>
      <c r="B182" s="23" t="s">
        <v>36</v>
      </c>
      <c r="C182" s="24">
        <v>63.9</v>
      </c>
    </row>
    <row r="183" spans="1:3" ht="12.75">
      <c r="A183" s="25">
        <v>32599</v>
      </c>
      <c r="B183" s="23" t="s">
        <v>36</v>
      </c>
      <c r="C183" s="24">
        <v>63.9</v>
      </c>
    </row>
    <row r="184" spans="1:3" ht="12.75">
      <c r="A184" s="25">
        <v>32629</v>
      </c>
      <c r="B184" s="23" t="s">
        <v>36</v>
      </c>
      <c r="C184" s="24">
        <v>81.4</v>
      </c>
    </row>
    <row r="185" spans="1:3" ht="12.75">
      <c r="A185" s="25">
        <v>32660</v>
      </c>
      <c r="B185" s="23" t="s">
        <v>36</v>
      </c>
      <c r="C185" s="24">
        <v>120</v>
      </c>
    </row>
    <row r="186" spans="1:3" ht="12.75">
      <c r="A186" s="25">
        <v>32690</v>
      </c>
      <c r="B186" s="23" t="s">
        <v>36</v>
      </c>
      <c r="C186" s="24">
        <v>149.8</v>
      </c>
    </row>
    <row r="187" spans="1:3" ht="12.75">
      <c r="A187" s="25">
        <v>32721</v>
      </c>
      <c r="B187" s="23" t="s">
        <v>36</v>
      </c>
      <c r="C187" s="24">
        <v>192.88</v>
      </c>
    </row>
    <row r="188" spans="1:3" ht="12.75">
      <c r="A188" s="25">
        <v>32752</v>
      </c>
      <c r="B188" s="23" t="s">
        <v>36</v>
      </c>
      <c r="C188" s="24">
        <v>249.48</v>
      </c>
    </row>
    <row r="189" spans="1:3" ht="12.75">
      <c r="A189" s="25">
        <v>32782</v>
      </c>
      <c r="B189" s="23" t="s">
        <v>36</v>
      </c>
      <c r="C189" s="24">
        <v>381.73</v>
      </c>
    </row>
    <row r="190" spans="1:3" ht="12.75">
      <c r="A190" s="25">
        <v>32813</v>
      </c>
      <c r="B190" s="23" t="s">
        <v>36</v>
      </c>
      <c r="C190" s="24">
        <v>557.33</v>
      </c>
    </row>
    <row r="191" spans="1:3" ht="12.75">
      <c r="A191" s="25">
        <v>32843</v>
      </c>
      <c r="B191" s="23" t="s">
        <v>36</v>
      </c>
      <c r="C191" s="24">
        <v>788.18</v>
      </c>
    </row>
    <row r="192" spans="1:3" ht="12.75">
      <c r="A192" s="25">
        <v>32874</v>
      </c>
      <c r="B192" s="23" t="s">
        <v>36</v>
      </c>
      <c r="C192" s="24">
        <v>1283.95</v>
      </c>
    </row>
    <row r="193" spans="1:3" ht="12.75">
      <c r="A193" s="25">
        <v>32905</v>
      </c>
      <c r="B193" s="23" t="s">
        <v>36</v>
      </c>
      <c r="C193" s="24">
        <v>2004.37</v>
      </c>
    </row>
    <row r="194" spans="1:3" ht="12.75">
      <c r="A194" s="25">
        <v>32933</v>
      </c>
      <c r="B194" s="23" t="s">
        <v>36</v>
      </c>
      <c r="C194" s="24">
        <v>3674.06</v>
      </c>
    </row>
    <row r="195" spans="1:3" ht="12.75">
      <c r="A195" s="25">
        <v>32964</v>
      </c>
      <c r="B195" s="23" t="s">
        <v>34</v>
      </c>
      <c r="C195" s="24">
        <v>3674.06</v>
      </c>
    </row>
    <row r="196" spans="1:3" ht="12.75">
      <c r="A196" s="25">
        <v>32994</v>
      </c>
      <c r="B196" s="23" t="s">
        <v>34</v>
      </c>
      <c r="C196" s="24">
        <v>3674.06</v>
      </c>
    </row>
    <row r="197" spans="1:3" ht="12.75">
      <c r="A197" s="25">
        <v>33025</v>
      </c>
      <c r="B197" s="23" t="s">
        <v>34</v>
      </c>
      <c r="C197" s="24">
        <v>3857.76</v>
      </c>
    </row>
    <row r="198" spans="1:3" ht="12.75">
      <c r="A198" s="25">
        <v>33055</v>
      </c>
      <c r="B198" s="23" t="s">
        <v>34</v>
      </c>
      <c r="C198" s="24">
        <v>4904.76</v>
      </c>
    </row>
    <row r="199" spans="1:3" ht="12.75">
      <c r="A199" s="25">
        <v>33086</v>
      </c>
      <c r="B199" s="23" t="s">
        <v>34</v>
      </c>
      <c r="C199" s="24">
        <v>5203.46</v>
      </c>
    </row>
    <row r="200" spans="1:3" ht="12.75">
      <c r="A200" s="25">
        <v>33117</v>
      </c>
      <c r="B200" s="23" t="s">
        <v>34</v>
      </c>
      <c r="C200" s="24">
        <v>6056.31</v>
      </c>
    </row>
    <row r="201" spans="1:3" ht="12.75">
      <c r="A201" s="25">
        <v>33147</v>
      </c>
      <c r="B201" s="23" t="s">
        <v>34</v>
      </c>
      <c r="C201" s="24">
        <v>6425.14</v>
      </c>
    </row>
    <row r="202" spans="1:3" ht="12.75">
      <c r="A202" s="25">
        <v>33178</v>
      </c>
      <c r="B202" s="23" t="s">
        <v>34</v>
      </c>
      <c r="C202" s="24">
        <v>8329.55</v>
      </c>
    </row>
    <row r="203" spans="1:3" ht="12.75">
      <c r="A203" s="25">
        <v>33208</v>
      </c>
      <c r="B203" s="23" t="s">
        <v>34</v>
      </c>
      <c r="C203" s="24">
        <v>8836.82</v>
      </c>
    </row>
    <row r="204" spans="1:3" ht="12.75">
      <c r="A204" s="25">
        <v>33239</v>
      </c>
      <c r="B204" s="23" t="s">
        <v>34</v>
      </c>
      <c r="C204" s="24">
        <v>12325.6</v>
      </c>
    </row>
    <row r="205" spans="1:3" ht="12.75">
      <c r="A205" s="25">
        <v>33270</v>
      </c>
      <c r="B205" s="23" t="s">
        <v>34</v>
      </c>
      <c r="C205" s="24">
        <v>15895.46</v>
      </c>
    </row>
    <row r="206" spans="1:3" ht="12.75">
      <c r="A206" s="25">
        <v>33298</v>
      </c>
      <c r="B206" s="23" t="s">
        <v>34</v>
      </c>
      <c r="C206" s="24">
        <v>17000</v>
      </c>
    </row>
    <row r="207" spans="1:3" ht="12.75">
      <c r="A207" s="25">
        <v>33329</v>
      </c>
      <c r="B207" s="23" t="s">
        <v>34</v>
      </c>
      <c r="C207" s="24">
        <v>17000</v>
      </c>
    </row>
    <row r="208" spans="1:3" ht="12.75">
      <c r="A208" s="25">
        <v>33359</v>
      </c>
      <c r="B208" s="23" t="s">
        <v>34</v>
      </c>
      <c r="C208" s="24">
        <v>17000</v>
      </c>
    </row>
    <row r="209" spans="1:3" ht="12.75">
      <c r="A209" s="25">
        <v>33390</v>
      </c>
      <c r="B209" s="23" t="s">
        <v>34</v>
      </c>
      <c r="C209" s="24">
        <v>17000</v>
      </c>
    </row>
    <row r="210" spans="1:3" ht="12.75">
      <c r="A210" s="25">
        <v>33420</v>
      </c>
      <c r="B210" s="23" t="s">
        <v>34</v>
      </c>
      <c r="C210" s="24">
        <v>17000</v>
      </c>
    </row>
    <row r="211" spans="1:3" ht="12.75">
      <c r="A211" s="25">
        <v>33451</v>
      </c>
      <c r="B211" s="23" t="s">
        <v>34</v>
      </c>
      <c r="C211" s="24">
        <v>17000</v>
      </c>
    </row>
    <row r="212" spans="1:3" ht="12.75">
      <c r="A212" s="25">
        <v>33482</v>
      </c>
      <c r="B212" s="23" t="s">
        <v>34</v>
      </c>
      <c r="C212" s="24">
        <v>42000</v>
      </c>
    </row>
    <row r="213" spans="1:3" ht="12.75">
      <c r="A213" s="25">
        <v>33512</v>
      </c>
      <c r="B213" s="23" t="s">
        <v>34</v>
      </c>
      <c r="C213" s="24">
        <v>42000</v>
      </c>
    </row>
    <row r="214" spans="1:3" ht="12.75">
      <c r="A214" s="25">
        <v>33543</v>
      </c>
      <c r="B214" s="23" t="s">
        <v>34</v>
      </c>
      <c r="C214" s="24">
        <v>42000</v>
      </c>
    </row>
    <row r="215" spans="1:3" ht="12.75">
      <c r="A215" s="25">
        <v>33573</v>
      </c>
      <c r="B215" s="23" t="s">
        <v>34</v>
      </c>
      <c r="C215" s="24">
        <v>42000</v>
      </c>
    </row>
    <row r="216" spans="1:3" ht="12.75">
      <c r="A216" s="25">
        <v>33604</v>
      </c>
      <c r="B216" s="23" t="s">
        <v>34</v>
      </c>
      <c r="C216" s="24">
        <v>96037.33</v>
      </c>
    </row>
    <row r="217" spans="1:3" ht="12.75">
      <c r="A217" s="25">
        <v>33635</v>
      </c>
      <c r="B217" s="23" t="s">
        <v>34</v>
      </c>
      <c r="C217" s="24">
        <v>96037.33</v>
      </c>
    </row>
    <row r="218" spans="1:3" ht="12.75">
      <c r="A218" s="25">
        <v>33664</v>
      </c>
      <c r="B218" s="23" t="s">
        <v>34</v>
      </c>
      <c r="C218" s="24">
        <v>96037.33</v>
      </c>
    </row>
    <row r="219" spans="1:3" ht="12.75">
      <c r="A219" s="25">
        <v>33695</v>
      </c>
      <c r="B219" s="23" t="s">
        <v>34</v>
      </c>
      <c r="C219" s="24">
        <v>96037.33</v>
      </c>
    </row>
    <row r="220" spans="1:3" ht="12.75">
      <c r="A220" s="25">
        <v>33725</v>
      </c>
      <c r="B220" s="23" t="s">
        <v>34</v>
      </c>
      <c r="C220" s="24">
        <v>230000</v>
      </c>
    </row>
    <row r="221" spans="1:3" ht="12.75">
      <c r="A221" s="25">
        <v>33756</v>
      </c>
      <c r="B221" s="23" t="s">
        <v>34</v>
      </c>
      <c r="C221" s="24">
        <v>230000</v>
      </c>
    </row>
    <row r="222" spans="1:3" ht="12.75">
      <c r="A222" s="25">
        <v>33786</v>
      </c>
      <c r="B222" s="23" t="s">
        <v>34</v>
      </c>
      <c r="C222" s="24">
        <v>230000</v>
      </c>
    </row>
    <row r="223" spans="1:3" ht="12.75">
      <c r="A223" s="25">
        <v>33817</v>
      </c>
      <c r="B223" s="23" t="s">
        <v>34</v>
      </c>
      <c r="C223" s="24">
        <v>230000</v>
      </c>
    </row>
    <row r="224" spans="1:3" ht="12.75">
      <c r="A224" s="25">
        <v>33848</v>
      </c>
      <c r="B224" s="23" t="s">
        <v>34</v>
      </c>
      <c r="C224" s="24">
        <v>522188.94</v>
      </c>
    </row>
    <row r="225" spans="1:3" ht="12.75">
      <c r="A225" s="25">
        <v>33878</v>
      </c>
      <c r="B225" s="23" t="s">
        <v>34</v>
      </c>
      <c r="C225" s="24">
        <v>522188.94</v>
      </c>
    </row>
    <row r="226" spans="1:3" ht="12.75">
      <c r="A226" s="25">
        <v>33909</v>
      </c>
      <c r="B226" s="23" t="s">
        <v>34</v>
      </c>
      <c r="C226" s="24">
        <v>522188.94</v>
      </c>
    </row>
    <row r="227" spans="1:3" ht="12.75">
      <c r="A227" s="25">
        <v>33939</v>
      </c>
      <c r="B227" s="23" t="s">
        <v>34</v>
      </c>
      <c r="C227" s="24">
        <v>522188.94</v>
      </c>
    </row>
    <row r="228" spans="1:3" ht="12.75">
      <c r="A228" s="25">
        <v>33970</v>
      </c>
      <c r="B228" s="23" t="s">
        <v>34</v>
      </c>
      <c r="C228" s="24">
        <v>1250700</v>
      </c>
    </row>
    <row r="229" spans="1:3" ht="12.75">
      <c r="A229" s="25">
        <v>34001</v>
      </c>
      <c r="B229" s="23" t="s">
        <v>34</v>
      </c>
      <c r="C229" s="24">
        <v>1250700</v>
      </c>
    </row>
    <row r="230" spans="1:3" ht="12.75">
      <c r="A230" s="25">
        <v>34029</v>
      </c>
      <c r="B230" s="23" t="s">
        <v>34</v>
      </c>
      <c r="C230" s="24">
        <v>1709400</v>
      </c>
    </row>
    <row r="231" spans="1:3" ht="12.75">
      <c r="A231" s="25">
        <v>34060</v>
      </c>
      <c r="B231" s="23" t="s">
        <v>34</v>
      </c>
      <c r="C231" s="24">
        <v>1709400</v>
      </c>
    </row>
    <row r="232" spans="1:3" ht="12.75">
      <c r="A232" s="25">
        <v>34090</v>
      </c>
      <c r="B232" s="23" t="s">
        <v>34</v>
      </c>
      <c r="C232" s="24">
        <v>3303300</v>
      </c>
    </row>
    <row r="233" spans="1:3" ht="12.75">
      <c r="A233" s="25">
        <v>34121</v>
      </c>
      <c r="B233" s="23" t="s">
        <v>34</v>
      </c>
      <c r="C233" s="24">
        <v>3303300</v>
      </c>
    </row>
    <row r="234" spans="1:3" ht="12.75">
      <c r="A234" s="25">
        <v>34151</v>
      </c>
      <c r="B234" s="23" t="s">
        <v>34</v>
      </c>
      <c r="C234" s="24">
        <v>4639800</v>
      </c>
    </row>
    <row r="235" spans="1:3" ht="12.75">
      <c r="A235" s="25">
        <v>34182</v>
      </c>
      <c r="B235" s="23" t="s">
        <v>18</v>
      </c>
      <c r="C235" s="24">
        <v>5534</v>
      </c>
    </row>
    <row r="236" spans="1:3" ht="12.75">
      <c r="A236" s="25">
        <v>34213</v>
      </c>
      <c r="B236" s="23" t="s">
        <v>18</v>
      </c>
      <c r="C236" s="24">
        <v>9606</v>
      </c>
    </row>
    <row r="237" spans="1:3" ht="12.75">
      <c r="A237" s="25">
        <v>34243</v>
      </c>
      <c r="B237" s="23" t="s">
        <v>18</v>
      </c>
      <c r="C237" s="24">
        <v>12024</v>
      </c>
    </row>
    <row r="238" spans="1:3" ht="12.75">
      <c r="A238" s="25">
        <v>34274</v>
      </c>
      <c r="B238" s="23" t="s">
        <v>18</v>
      </c>
      <c r="C238" s="24">
        <v>15021</v>
      </c>
    </row>
    <row r="239" spans="1:3" ht="12.75">
      <c r="A239" s="25">
        <v>34304</v>
      </c>
      <c r="B239" s="23" t="s">
        <v>18</v>
      </c>
      <c r="C239" s="24">
        <v>18760</v>
      </c>
    </row>
    <row r="240" spans="1:3" ht="12.75">
      <c r="A240" s="25">
        <v>34335</v>
      </c>
      <c r="B240" s="23" t="s">
        <v>18</v>
      </c>
      <c r="C240" s="24">
        <v>32882</v>
      </c>
    </row>
    <row r="241" spans="1:3" ht="12.75">
      <c r="A241" s="25">
        <v>34366</v>
      </c>
      <c r="B241" s="23" t="s">
        <v>18</v>
      </c>
      <c r="C241" s="24">
        <v>42829</v>
      </c>
    </row>
    <row r="242" spans="1:3" ht="12.75">
      <c r="A242" s="25">
        <v>34394</v>
      </c>
      <c r="B242" s="23" t="s">
        <v>37</v>
      </c>
      <c r="C242" s="24">
        <f>64.79*931.05</f>
        <v>60322.7295</v>
      </c>
    </row>
    <row r="243" spans="1:3" ht="12.75">
      <c r="A243" s="25">
        <v>34425</v>
      </c>
      <c r="B243" s="23" t="s">
        <v>37</v>
      </c>
      <c r="C243" s="24">
        <f>64.79*1323.92</f>
        <v>85776.7768</v>
      </c>
    </row>
    <row r="244" spans="1:3" ht="12.75">
      <c r="A244" s="25">
        <v>34455</v>
      </c>
      <c r="B244" s="23" t="s">
        <v>37</v>
      </c>
      <c r="C244" s="24">
        <f>64.79*1875.82</f>
        <v>121534.3778</v>
      </c>
    </row>
    <row r="245" spans="1:3" ht="12.75">
      <c r="A245" s="25">
        <v>34486</v>
      </c>
      <c r="B245" s="23" t="s">
        <v>37</v>
      </c>
      <c r="C245" s="24">
        <f>64.79*2750</f>
        <v>178172.50000000003</v>
      </c>
    </row>
    <row r="246" spans="1:3" ht="12.75">
      <c r="A246" s="25">
        <v>34516</v>
      </c>
      <c r="B246" s="23" t="s">
        <v>10</v>
      </c>
      <c r="C246" s="24">
        <v>64.79</v>
      </c>
    </row>
    <row r="247" spans="1:3" ht="12.75">
      <c r="A247" s="25">
        <v>34547</v>
      </c>
      <c r="B247" s="23" t="s">
        <v>10</v>
      </c>
      <c r="C247" s="24">
        <v>64.79</v>
      </c>
    </row>
    <row r="248" spans="1:3" ht="12.75">
      <c r="A248" s="25">
        <v>34578</v>
      </c>
      <c r="B248" s="23" t="s">
        <v>10</v>
      </c>
      <c r="C248" s="24">
        <v>70</v>
      </c>
    </row>
    <row r="249" spans="1:3" ht="12.75">
      <c r="A249" s="25">
        <v>34608</v>
      </c>
      <c r="B249" s="23" t="s">
        <v>10</v>
      </c>
      <c r="C249" s="24">
        <v>70</v>
      </c>
    </row>
    <row r="250" spans="1:3" ht="12.75">
      <c r="A250" s="25">
        <v>34639</v>
      </c>
      <c r="B250" s="23" t="s">
        <v>10</v>
      </c>
      <c r="C250" s="24">
        <v>70</v>
      </c>
    </row>
    <row r="251" spans="1:3" ht="12.75">
      <c r="A251" s="25">
        <v>34669</v>
      </c>
      <c r="B251" s="23" t="s">
        <v>10</v>
      </c>
      <c r="C251" s="24">
        <v>70</v>
      </c>
    </row>
    <row r="252" spans="1:3" ht="12.75">
      <c r="A252" s="25">
        <v>34700</v>
      </c>
      <c r="B252" s="23" t="s">
        <v>10</v>
      </c>
      <c r="C252" s="24">
        <v>70</v>
      </c>
    </row>
    <row r="253" spans="1:3" ht="12.75">
      <c r="A253" s="25">
        <v>34731</v>
      </c>
      <c r="B253" s="23" t="s">
        <v>10</v>
      </c>
      <c r="C253" s="24">
        <v>70</v>
      </c>
    </row>
    <row r="254" spans="1:3" ht="12.75">
      <c r="A254" s="25">
        <v>34759</v>
      </c>
      <c r="B254" s="23" t="s">
        <v>10</v>
      </c>
      <c r="C254" s="24">
        <v>70</v>
      </c>
    </row>
    <row r="255" spans="1:3" ht="12.75">
      <c r="A255" s="25">
        <v>34790</v>
      </c>
      <c r="B255" s="23" t="s">
        <v>10</v>
      </c>
      <c r="C255" s="24">
        <v>70</v>
      </c>
    </row>
    <row r="256" spans="1:3" ht="12.75">
      <c r="A256" s="25">
        <v>34820</v>
      </c>
      <c r="B256" s="23" t="s">
        <v>10</v>
      </c>
      <c r="C256" s="24">
        <v>100</v>
      </c>
    </row>
    <row r="257" spans="1:3" ht="12.75">
      <c r="A257" s="25">
        <v>34851</v>
      </c>
      <c r="B257" s="23" t="s">
        <v>10</v>
      </c>
      <c r="C257" s="24">
        <v>100</v>
      </c>
    </row>
    <row r="258" spans="1:3" ht="12.75">
      <c r="A258" s="25">
        <v>34881</v>
      </c>
      <c r="B258" s="23" t="s">
        <v>10</v>
      </c>
      <c r="C258" s="24">
        <v>100</v>
      </c>
    </row>
    <row r="259" spans="1:3" ht="12.75">
      <c r="A259" s="25">
        <v>34912</v>
      </c>
      <c r="B259" s="23" t="s">
        <v>10</v>
      </c>
      <c r="C259" s="24">
        <v>100</v>
      </c>
    </row>
    <row r="260" spans="1:3" ht="12.75">
      <c r="A260" s="25">
        <v>34943</v>
      </c>
      <c r="B260" s="23" t="s">
        <v>10</v>
      </c>
      <c r="C260" s="24">
        <v>100</v>
      </c>
    </row>
    <row r="261" spans="1:3" ht="12.75">
      <c r="A261" s="25">
        <v>34973</v>
      </c>
      <c r="B261" s="23" t="s">
        <v>10</v>
      </c>
      <c r="C261" s="24">
        <v>100</v>
      </c>
    </row>
    <row r="262" spans="1:3" ht="12.75">
      <c r="A262" s="25">
        <v>35004</v>
      </c>
      <c r="B262" s="23" t="s">
        <v>10</v>
      </c>
      <c r="C262" s="24">
        <v>100</v>
      </c>
    </row>
    <row r="263" spans="1:3" ht="12.75">
      <c r="A263" s="25">
        <v>35034</v>
      </c>
      <c r="B263" s="23" t="s">
        <v>10</v>
      </c>
      <c r="C263" s="24">
        <v>100</v>
      </c>
    </row>
    <row r="264" spans="1:3" ht="12.75">
      <c r="A264" s="25">
        <v>35065</v>
      </c>
      <c r="B264" s="23" t="s">
        <v>10</v>
      </c>
      <c r="C264" s="24">
        <v>100</v>
      </c>
    </row>
    <row r="265" spans="1:3" ht="12.75">
      <c r="A265" s="25">
        <v>35096</v>
      </c>
      <c r="B265" s="23" t="s">
        <v>10</v>
      </c>
      <c r="C265" s="24">
        <v>100</v>
      </c>
    </row>
    <row r="266" spans="1:3" ht="12.75">
      <c r="A266" s="25">
        <v>35125</v>
      </c>
      <c r="B266" s="23" t="s">
        <v>10</v>
      </c>
      <c r="C266" s="24">
        <v>100</v>
      </c>
    </row>
    <row r="267" spans="1:3" ht="12.75">
      <c r="A267" s="25">
        <v>35156</v>
      </c>
      <c r="B267" s="23" t="s">
        <v>10</v>
      </c>
      <c r="C267" s="24">
        <v>100</v>
      </c>
    </row>
    <row r="268" spans="1:3" ht="12.75">
      <c r="A268" s="25">
        <v>35186</v>
      </c>
      <c r="B268" s="23" t="s">
        <v>10</v>
      </c>
      <c r="C268" s="24">
        <v>112</v>
      </c>
    </row>
    <row r="269" spans="1:3" ht="12.75">
      <c r="A269" s="25">
        <v>35217</v>
      </c>
      <c r="B269" s="23" t="s">
        <v>10</v>
      </c>
      <c r="C269" s="24">
        <v>112</v>
      </c>
    </row>
    <row r="270" spans="1:3" ht="12.75">
      <c r="A270" s="25">
        <v>35247</v>
      </c>
      <c r="B270" s="23" t="s">
        <v>10</v>
      </c>
      <c r="C270" s="24">
        <v>112</v>
      </c>
    </row>
    <row r="271" spans="1:3" ht="12.75">
      <c r="A271" s="25">
        <v>35278</v>
      </c>
      <c r="B271" s="23" t="s">
        <v>10</v>
      </c>
      <c r="C271" s="24">
        <v>112</v>
      </c>
    </row>
    <row r="272" spans="1:3" ht="12.75">
      <c r="A272" s="25">
        <v>35309</v>
      </c>
      <c r="B272" s="23" t="s">
        <v>10</v>
      </c>
      <c r="C272" s="24">
        <v>112</v>
      </c>
    </row>
    <row r="273" spans="1:3" ht="12.75">
      <c r="A273" s="25">
        <v>35339</v>
      </c>
      <c r="B273" s="23" t="s">
        <v>10</v>
      </c>
      <c r="C273" s="24">
        <v>112</v>
      </c>
    </row>
    <row r="274" spans="1:3" ht="12.75">
      <c r="A274" s="25">
        <v>35370</v>
      </c>
      <c r="B274" s="23" t="s">
        <v>10</v>
      </c>
      <c r="C274" s="24">
        <v>112</v>
      </c>
    </row>
    <row r="275" spans="1:3" ht="12.75">
      <c r="A275" s="25">
        <v>35400</v>
      </c>
      <c r="B275" s="23" t="s">
        <v>10</v>
      </c>
      <c r="C275" s="24">
        <v>112</v>
      </c>
    </row>
    <row r="276" spans="1:3" ht="12.75">
      <c r="A276" s="25">
        <v>35431</v>
      </c>
      <c r="B276" s="23" t="s">
        <v>10</v>
      </c>
      <c r="C276" s="24">
        <v>112</v>
      </c>
    </row>
    <row r="277" spans="1:3" ht="12.75">
      <c r="A277" s="25">
        <v>35462</v>
      </c>
      <c r="B277" s="23" t="s">
        <v>10</v>
      </c>
      <c r="C277" s="24">
        <v>112</v>
      </c>
    </row>
    <row r="278" spans="1:3" ht="12.75">
      <c r="A278" s="25">
        <v>35490</v>
      </c>
      <c r="B278" s="23" t="s">
        <v>10</v>
      </c>
      <c r="C278" s="24">
        <v>112</v>
      </c>
    </row>
    <row r="279" spans="1:3" ht="12.75">
      <c r="A279" s="25">
        <v>35521</v>
      </c>
      <c r="B279" s="23" t="s">
        <v>10</v>
      </c>
      <c r="C279" s="24">
        <v>112</v>
      </c>
    </row>
    <row r="280" spans="1:3" ht="12.75">
      <c r="A280" s="25">
        <v>35551</v>
      </c>
      <c r="B280" s="23" t="s">
        <v>10</v>
      </c>
      <c r="C280" s="24">
        <v>120</v>
      </c>
    </row>
    <row r="281" spans="1:3" ht="12.75">
      <c r="A281" s="25">
        <v>35582</v>
      </c>
      <c r="B281" s="23" t="s">
        <v>10</v>
      </c>
      <c r="C281" s="24">
        <v>120</v>
      </c>
    </row>
    <row r="282" spans="1:3" ht="12.75">
      <c r="A282" s="25">
        <v>35612</v>
      </c>
      <c r="B282" s="23" t="s">
        <v>10</v>
      </c>
      <c r="C282" s="24">
        <v>120</v>
      </c>
    </row>
    <row r="283" spans="1:3" ht="12.75">
      <c r="A283" s="25">
        <v>35643</v>
      </c>
      <c r="B283" s="23" t="s">
        <v>10</v>
      </c>
      <c r="C283" s="24">
        <v>120</v>
      </c>
    </row>
    <row r="284" spans="1:3" ht="12.75">
      <c r="A284" s="25">
        <v>35674</v>
      </c>
      <c r="B284" s="23" t="s">
        <v>10</v>
      </c>
      <c r="C284" s="24">
        <v>120</v>
      </c>
    </row>
    <row r="285" spans="1:3" ht="12.75">
      <c r="A285" s="25">
        <v>35704</v>
      </c>
      <c r="B285" s="23" t="s">
        <v>10</v>
      </c>
      <c r="C285" s="24">
        <v>120</v>
      </c>
    </row>
    <row r="286" spans="1:3" ht="12.75">
      <c r="A286" s="25">
        <v>35735</v>
      </c>
      <c r="B286" s="23" t="s">
        <v>10</v>
      </c>
      <c r="C286" s="24">
        <v>120</v>
      </c>
    </row>
    <row r="287" spans="1:3" ht="12.75">
      <c r="A287" s="25">
        <v>35765</v>
      </c>
      <c r="B287" s="23" t="s">
        <v>10</v>
      </c>
      <c r="C287" s="24">
        <v>120</v>
      </c>
    </row>
    <row r="288" spans="1:3" ht="12.75">
      <c r="A288" s="25">
        <v>35796</v>
      </c>
      <c r="B288" s="23" t="s">
        <v>10</v>
      </c>
      <c r="C288" s="24">
        <v>120</v>
      </c>
    </row>
    <row r="289" spans="1:3" ht="12.75">
      <c r="A289" s="25">
        <v>35827</v>
      </c>
      <c r="B289" s="23" t="s">
        <v>10</v>
      </c>
      <c r="C289" s="24">
        <v>120</v>
      </c>
    </row>
    <row r="290" spans="1:3" ht="12.75">
      <c r="A290" s="25">
        <v>35855</v>
      </c>
      <c r="B290" s="23" t="s">
        <v>10</v>
      </c>
      <c r="C290" s="24">
        <v>120</v>
      </c>
    </row>
    <row r="291" spans="1:3" ht="12.75">
      <c r="A291" s="25">
        <v>35886</v>
      </c>
      <c r="B291" s="23" t="s">
        <v>10</v>
      </c>
      <c r="C291" s="24">
        <v>120</v>
      </c>
    </row>
    <row r="292" spans="1:3" ht="12.75">
      <c r="A292" s="25">
        <v>35916</v>
      </c>
      <c r="B292" s="23" t="s">
        <v>10</v>
      </c>
      <c r="C292" s="24">
        <v>130</v>
      </c>
    </row>
    <row r="293" spans="1:3" ht="12.75">
      <c r="A293" s="25">
        <v>35947</v>
      </c>
      <c r="B293" s="23" t="s">
        <v>10</v>
      </c>
      <c r="C293" s="24">
        <v>130</v>
      </c>
    </row>
    <row r="294" spans="1:3" ht="12.75">
      <c r="A294" s="25">
        <v>35977</v>
      </c>
      <c r="B294" s="23" t="s">
        <v>10</v>
      </c>
      <c r="C294" s="24">
        <v>130</v>
      </c>
    </row>
    <row r="295" spans="1:3" ht="12.75">
      <c r="A295" s="25">
        <v>36008</v>
      </c>
      <c r="B295" s="23" t="s">
        <v>10</v>
      </c>
      <c r="C295" s="24">
        <v>130</v>
      </c>
    </row>
    <row r="296" spans="1:3" ht="12.75">
      <c r="A296" s="25">
        <v>36039</v>
      </c>
      <c r="B296" s="23" t="s">
        <v>10</v>
      </c>
      <c r="C296" s="24">
        <v>130</v>
      </c>
    </row>
    <row r="297" spans="1:3" ht="12.75">
      <c r="A297" s="25">
        <v>36069</v>
      </c>
      <c r="B297" s="23" t="s">
        <v>10</v>
      </c>
      <c r="C297" s="24">
        <v>130</v>
      </c>
    </row>
    <row r="298" spans="1:3" ht="12.75">
      <c r="A298" s="25">
        <v>36100</v>
      </c>
      <c r="B298" s="23" t="s">
        <v>10</v>
      </c>
      <c r="C298" s="24">
        <v>130</v>
      </c>
    </row>
    <row r="299" spans="1:3" ht="12.75">
      <c r="A299" s="25">
        <v>36130</v>
      </c>
      <c r="B299" s="23" t="s">
        <v>10</v>
      </c>
      <c r="C299" s="24">
        <v>130</v>
      </c>
    </row>
    <row r="300" spans="1:3" ht="12.75">
      <c r="A300" s="25">
        <v>36161</v>
      </c>
      <c r="B300" s="23" t="s">
        <v>10</v>
      </c>
      <c r="C300" s="24">
        <v>130</v>
      </c>
    </row>
    <row r="301" spans="1:3" ht="12.75">
      <c r="A301" s="25">
        <v>36192</v>
      </c>
      <c r="B301" s="23" t="s">
        <v>10</v>
      </c>
      <c r="C301" s="24">
        <v>130</v>
      </c>
    </row>
    <row r="302" spans="1:3" ht="12.75">
      <c r="A302" s="25">
        <v>36220</v>
      </c>
      <c r="B302" s="23" t="s">
        <v>10</v>
      </c>
      <c r="C302" s="24">
        <v>130</v>
      </c>
    </row>
    <row r="303" spans="1:3" ht="12.75">
      <c r="A303" s="25">
        <v>36251</v>
      </c>
      <c r="B303" s="23" t="s">
        <v>10</v>
      </c>
      <c r="C303" s="24">
        <v>130</v>
      </c>
    </row>
    <row r="304" spans="1:3" ht="12.75">
      <c r="A304" s="25">
        <v>36281</v>
      </c>
      <c r="B304" s="23" t="s">
        <v>10</v>
      </c>
      <c r="C304" s="24">
        <v>136</v>
      </c>
    </row>
    <row r="305" spans="1:3" ht="12.75">
      <c r="A305" s="25">
        <v>36312</v>
      </c>
      <c r="B305" s="23" t="s">
        <v>10</v>
      </c>
      <c r="C305" s="24">
        <v>136</v>
      </c>
    </row>
    <row r="306" spans="1:3" ht="12.75">
      <c r="A306" s="25">
        <v>36342</v>
      </c>
      <c r="B306" s="23" t="s">
        <v>10</v>
      </c>
      <c r="C306" s="24">
        <v>136</v>
      </c>
    </row>
    <row r="307" spans="1:3" ht="12.75">
      <c r="A307" s="25">
        <v>36373</v>
      </c>
      <c r="B307" s="23" t="s">
        <v>10</v>
      </c>
      <c r="C307" s="24">
        <v>136</v>
      </c>
    </row>
    <row r="308" spans="1:3" ht="12.75">
      <c r="A308" s="25">
        <v>36404</v>
      </c>
      <c r="B308" s="23" t="s">
        <v>10</v>
      </c>
      <c r="C308" s="24">
        <v>136</v>
      </c>
    </row>
    <row r="309" spans="1:3" ht="12.75">
      <c r="A309" s="25">
        <v>36434</v>
      </c>
      <c r="B309" s="23" t="s">
        <v>10</v>
      </c>
      <c r="C309" s="24">
        <v>136</v>
      </c>
    </row>
    <row r="310" spans="1:3" ht="12.75">
      <c r="A310" s="25">
        <v>36465</v>
      </c>
      <c r="B310" s="23" t="s">
        <v>10</v>
      </c>
      <c r="C310" s="24">
        <v>136</v>
      </c>
    </row>
    <row r="311" spans="1:3" ht="12.75">
      <c r="A311" s="25">
        <v>36495</v>
      </c>
      <c r="B311" s="23" t="s">
        <v>10</v>
      </c>
      <c r="C311" s="24">
        <v>136</v>
      </c>
    </row>
    <row r="312" spans="1:3" ht="12.75">
      <c r="A312" s="25">
        <v>36526</v>
      </c>
      <c r="B312" s="23" t="s">
        <v>10</v>
      </c>
      <c r="C312" s="24">
        <v>136</v>
      </c>
    </row>
    <row r="313" spans="1:3" ht="12.75">
      <c r="A313" s="25">
        <v>36557</v>
      </c>
      <c r="B313" s="23" t="s">
        <v>10</v>
      </c>
      <c r="C313" s="24">
        <v>136</v>
      </c>
    </row>
    <row r="314" spans="1:3" ht="12.75">
      <c r="A314" s="25">
        <v>36586</v>
      </c>
      <c r="B314" s="23" t="s">
        <v>10</v>
      </c>
      <c r="C314" s="24">
        <v>136</v>
      </c>
    </row>
    <row r="315" spans="1:3" ht="12.75">
      <c r="A315" s="25">
        <v>36617</v>
      </c>
      <c r="B315" s="23" t="s">
        <v>10</v>
      </c>
      <c r="C315" s="24">
        <v>151</v>
      </c>
    </row>
    <row r="316" spans="1:3" ht="12.75">
      <c r="A316" s="25">
        <v>36647</v>
      </c>
      <c r="B316" s="23" t="s">
        <v>10</v>
      </c>
      <c r="C316" s="24">
        <v>151</v>
      </c>
    </row>
    <row r="317" spans="1:3" ht="12.75">
      <c r="A317" s="25">
        <v>36678</v>
      </c>
      <c r="B317" s="23" t="s">
        <v>10</v>
      </c>
      <c r="C317" s="24">
        <v>151</v>
      </c>
    </row>
    <row r="318" spans="1:3" ht="12.75">
      <c r="A318" s="25">
        <v>36708</v>
      </c>
      <c r="B318" s="23" t="s">
        <v>10</v>
      </c>
      <c r="C318" s="24">
        <v>151</v>
      </c>
    </row>
    <row r="319" spans="1:3" ht="12.75">
      <c r="A319" s="25">
        <v>36739</v>
      </c>
      <c r="B319" s="23" t="s">
        <v>10</v>
      </c>
      <c r="C319" s="24">
        <v>151</v>
      </c>
    </row>
    <row r="320" spans="1:3" ht="12.75">
      <c r="A320" s="25">
        <v>36770</v>
      </c>
      <c r="B320" s="23" t="s">
        <v>10</v>
      </c>
      <c r="C320" s="24">
        <v>151</v>
      </c>
    </row>
    <row r="321" spans="1:3" ht="12.75">
      <c r="A321" s="25">
        <v>36800</v>
      </c>
      <c r="B321" s="23" t="s">
        <v>10</v>
      </c>
      <c r="C321" s="24">
        <v>151</v>
      </c>
    </row>
    <row r="322" spans="1:3" ht="12.75">
      <c r="A322" s="25">
        <v>36831</v>
      </c>
      <c r="B322" s="23" t="s">
        <v>10</v>
      </c>
      <c r="C322" s="24">
        <v>151</v>
      </c>
    </row>
    <row r="323" spans="1:3" ht="12.75">
      <c r="A323" s="25">
        <v>36861</v>
      </c>
      <c r="B323" s="23" t="s">
        <v>10</v>
      </c>
      <c r="C323" s="24">
        <v>151</v>
      </c>
    </row>
    <row r="324" spans="1:3" ht="12.75">
      <c r="A324" s="25">
        <v>36892</v>
      </c>
      <c r="B324" s="23" t="s">
        <v>10</v>
      </c>
      <c r="C324" s="24">
        <v>151</v>
      </c>
    </row>
    <row r="325" spans="1:3" ht="12.75">
      <c r="A325" s="25">
        <v>36923</v>
      </c>
      <c r="B325" s="23" t="s">
        <v>10</v>
      </c>
      <c r="C325" s="24">
        <v>151</v>
      </c>
    </row>
    <row r="326" spans="1:3" ht="12.75">
      <c r="A326" s="25">
        <v>36951</v>
      </c>
      <c r="B326" s="23" t="s">
        <v>10</v>
      </c>
      <c r="C326" s="24">
        <v>151</v>
      </c>
    </row>
    <row r="327" spans="1:3" ht="12.75">
      <c r="A327" s="25">
        <v>36982</v>
      </c>
      <c r="B327" s="23" t="s">
        <v>10</v>
      </c>
      <c r="C327" s="24">
        <v>180</v>
      </c>
    </row>
    <row r="328" spans="1:3" ht="12.75">
      <c r="A328" s="25">
        <v>37012</v>
      </c>
      <c r="B328" s="23" t="s">
        <v>10</v>
      </c>
      <c r="C328" s="24">
        <v>180</v>
      </c>
    </row>
    <row r="329" spans="1:3" ht="12.75">
      <c r="A329" s="25">
        <v>37043</v>
      </c>
      <c r="B329" s="23" t="s">
        <v>10</v>
      </c>
      <c r="C329" s="24">
        <v>180</v>
      </c>
    </row>
    <row r="330" spans="1:3" ht="12.75">
      <c r="A330" s="25">
        <v>37073</v>
      </c>
      <c r="B330" s="23" t="s">
        <v>10</v>
      </c>
      <c r="C330" s="24">
        <v>180</v>
      </c>
    </row>
    <row r="331" spans="1:3" ht="12.75">
      <c r="A331" s="25">
        <v>37104</v>
      </c>
      <c r="B331" s="23" t="s">
        <v>10</v>
      </c>
      <c r="C331" s="24">
        <v>180</v>
      </c>
    </row>
    <row r="332" spans="1:3" ht="12.75">
      <c r="A332" s="25">
        <v>37135</v>
      </c>
      <c r="B332" s="23" t="s">
        <v>10</v>
      </c>
      <c r="C332" s="24">
        <v>180</v>
      </c>
    </row>
    <row r="333" spans="1:3" ht="12.75">
      <c r="A333" s="25">
        <v>37165</v>
      </c>
      <c r="B333" s="23" t="s">
        <v>10</v>
      </c>
      <c r="C333" s="24">
        <v>180</v>
      </c>
    </row>
    <row r="334" spans="1:3" ht="12.75">
      <c r="A334" s="25">
        <v>37196</v>
      </c>
      <c r="B334" s="23" t="s">
        <v>10</v>
      </c>
      <c r="C334" s="24">
        <v>180</v>
      </c>
    </row>
    <row r="335" spans="1:3" ht="12.75">
      <c r="A335" s="25">
        <v>37226</v>
      </c>
      <c r="B335" s="23" t="s">
        <v>10</v>
      </c>
      <c r="C335" s="24">
        <v>180</v>
      </c>
    </row>
    <row r="336" spans="1:3" ht="12.75">
      <c r="A336" s="25">
        <v>37257</v>
      </c>
      <c r="B336" s="23" t="s">
        <v>10</v>
      </c>
      <c r="C336" s="24">
        <v>180</v>
      </c>
    </row>
    <row r="337" spans="1:3" ht="12.75">
      <c r="A337" s="25">
        <v>37288</v>
      </c>
      <c r="B337" s="23" t="s">
        <v>10</v>
      </c>
      <c r="C337" s="24">
        <v>180</v>
      </c>
    </row>
    <row r="338" spans="1:3" ht="12.75">
      <c r="A338" s="25">
        <v>37316</v>
      </c>
      <c r="B338" s="23" t="s">
        <v>10</v>
      </c>
      <c r="C338" s="24">
        <v>180</v>
      </c>
    </row>
    <row r="339" spans="1:3" ht="12.75">
      <c r="A339" s="25">
        <v>37347</v>
      </c>
      <c r="B339" s="23" t="s">
        <v>10</v>
      </c>
      <c r="C339" s="24">
        <v>200</v>
      </c>
    </row>
    <row r="340" spans="1:3" ht="12.75">
      <c r="A340" s="25">
        <v>37377</v>
      </c>
      <c r="B340" s="23" t="s">
        <v>10</v>
      </c>
      <c r="C340" s="24">
        <v>200</v>
      </c>
    </row>
    <row r="341" spans="1:3" ht="12.75">
      <c r="A341" s="25">
        <v>37408</v>
      </c>
      <c r="B341" s="23" t="s">
        <v>10</v>
      </c>
      <c r="C341" s="24">
        <v>200</v>
      </c>
    </row>
    <row r="342" spans="1:3" ht="12.75">
      <c r="A342" s="25">
        <v>37438</v>
      </c>
      <c r="B342" s="23" t="s">
        <v>10</v>
      </c>
      <c r="C342" s="24">
        <v>200</v>
      </c>
    </row>
    <row r="343" spans="1:3" ht="12.75">
      <c r="A343" s="25">
        <v>37469</v>
      </c>
      <c r="B343" s="23" t="s">
        <v>10</v>
      </c>
      <c r="C343" s="24">
        <v>200</v>
      </c>
    </row>
    <row r="344" spans="1:3" ht="12.75">
      <c r="A344" s="25">
        <v>37500</v>
      </c>
      <c r="B344" s="23" t="s">
        <v>10</v>
      </c>
      <c r="C344" s="24">
        <v>200</v>
      </c>
    </row>
    <row r="345" spans="1:3" ht="12.75">
      <c r="A345" s="25">
        <v>37530</v>
      </c>
      <c r="B345" s="23" t="s">
        <v>10</v>
      </c>
      <c r="C345" s="24">
        <v>200</v>
      </c>
    </row>
    <row r="346" spans="1:3" ht="12.75">
      <c r="A346" s="25">
        <v>37561</v>
      </c>
      <c r="B346" s="23" t="s">
        <v>10</v>
      </c>
      <c r="C346" s="24">
        <v>200</v>
      </c>
    </row>
    <row r="347" spans="1:3" ht="12.75">
      <c r="A347" s="25">
        <v>37591</v>
      </c>
      <c r="B347" s="23" t="s">
        <v>10</v>
      </c>
      <c r="C347" s="24">
        <v>200</v>
      </c>
    </row>
    <row r="348" spans="1:3" ht="12.75">
      <c r="A348" s="25">
        <v>37622</v>
      </c>
      <c r="B348" s="23" t="s">
        <v>10</v>
      </c>
      <c r="C348" s="24">
        <v>200</v>
      </c>
    </row>
    <row r="349" spans="1:3" ht="12.75">
      <c r="A349" s="25">
        <v>37653</v>
      </c>
      <c r="B349" s="23" t="s">
        <v>10</v>
      </c>
      <c r="C349" s="24">
        <v>200</v>
      </c>
    </row>
    <row r="350" spans="1:3" ht="12.75">
      <c r="A350" s="25">
        <v>37681</v>
      </c>
      <c r="B350" s="23" t="s">
        <v>10</v>
      </c>
      <c r="C350" s="24">
        <v>200</v>
      </c>
    </row>
    <row r="351" spans="1:3" ht="12.75">
      <c r="A351" s="25">
        <v>37712</v>
      </c>
      <c r="B351" s="23" t="s">
        <v>10</v>
      </c>
      <c r="C351" s="24">
        <v>240</v>
      </c>
    </row>
    <row r="352" spans="1:3" ht="12.75">
      <c r="A352" s="25">
        <v>37742</v>
      </c>
      <c r="B352" s="23" t="s">
        <v>10</v>
      </c>
      <c r="C352" s="24">
        <v>240</v>
      </c>
    </row>
    <row r="353" spans="1:3" ht="12.75">
      <c r="A353" s="25">
        <v>37773</v>
      </c>
      <c r="B353" s="23" t="s">
        <v>10</v>
      </c>
      <c r="C353" s="24">
        <v>240</v>
      </c>
    </row>
    <row r="354" spans="1:3" ht="12.75">
      <c r="A354" s="25">
        <v>37803</v>
      </c>
      <c r="B354" s="23" t="s">
        <v>10</v>
      </c>
      <c r="C354" s="24">
        <v>240</v>
      </c>
    </row>
    <row r="355" spans="1:3" ht="12.75">
      <c r="A355" s="25">
        <v>37834</v>
      </c>
      <c r="B355" s="23" t="s">
        <v>10</v>
      </c>
      <c r="C355" s="24">
        <v>240</v>
      </c>
    </row>
    <row r="356" spans="1:3" ht="12.75">
      <c r="A356" s="25">
        <v>37865</v>
      </c>
      <c r="B356" s="23" t="s">
        <v>10</v>
      </c>
      <c r="C356" s="24">
        <v>240</v>
      </c>
    </row>
    <row r="357" spans="1:3" ht="12.75">
      <c r="A357" s="25">
        <v>37895</v>
      </c>
      <c r="B357" s="23" t="s">
        <v>10</v>
      </c>
      <c r="C357" s="24">
        <v>240</v>
      </c>
    </row>
    <row r="358" spans="1:3" ht="12.75">
      <c r="A358" s="25">
        <v>37926</v>
      </c>
      <c r="B358" s="23" t="s">
        <v>10</v>
      </c>
      <c r="C358" s="24">
        <v>240</v>
      </c>
    </row>
    <row r="359" spans="1:3" ht="12.75">
      <c r="A359" s="25">
        <v>37956</v>
      </c>
      <c r="B359" s="23" t="s">
        <v>10</v>
      </c>
      <c r="C359" s="24">
        <v>240</v>
      </c>
    </row>
    <row r="360" spans="1:3" ht="12.75">
      <c r="A360" s="25">
        <v>37987</v>
      </c>
      <c r="B360" s="23" t="s">
        <v>10</v>
      </c>
      <c r="C360" s="24">
        <v>240</v>
      </c>
    </row>
    <row r="361" spans="1:3" ht="12.75">
      <c r="A361" s="25">
        <v>38018</v>
      </c>
      <c r="B361" s="23" t="s">
        <v>10</v>
      </c>
      <c r="C361" s="24">
        <v>240</v>
      </c>
    </row>
    <row r="362" spans="1:3" ht="12.75">
      <c r="A362" s="25">
        <v>38047</v>
      </c>
      <c r="B362" s="23" t="s">
        <v>10</v>
      </c>
      <c r="C362" s="24">
        <v>240</v>
      </c>
    </row>
    <row r="363" spans="1:3" ht="12.75">
      <c r="A363" s="25">
        <v>38078</v>
      </c>
      <c r="B363" s="23" t="s">
        <v>10</v>
      </c>
      <c r="C363" s="24">
        <v>260</v>
      </c>
    </row>
    <row r="364" spans="1:3" ht="12.75">
      <c r="A364" s="25">
        <v>38108</v>
      </c>
      <c r="B364" s="23" t="s">
        <v>10</v>
      </c>
      <c r="C364" s="24">
        <v>260</v>
      </c>
    </row>
    <row r="365" spans="1:3" ht="12.75">
      <c r="A365" s="25">
        <v>38139</v>
      </c>
      <c r="B365" s="23" t="s">
        <v>10</v>
      </c>
      <c r="C365" s="24">
        <v>260</v>
      </c>
    </row>
    <row r="366" spans="1:3" ht="12.75">
      <c r="A366" s="25">
        <v>38169</v>
      </c>
      <c r="B366" s="23" t="s">
        <v>10</v>
      </c>
      <c r="C366" s="24">
        <v>260</v>
      </c>
    </row>
    <row r="367" spans="1:3" ht="12.75">
      <c r="A367" s="25">
        <v>38200</v>
      </c>
      <c r="B367" s="23" t="s">
        <v>10</v>
      </c>
      <c r="C367" s="24">
        <v>260</v>
      </c>
    </row>
    <row r="368" spans="1:3" ht="12.75">
      <c r="A368" s="25">
        <v>38231</v>
      </c>
      <c r="B368" s="23" t="s">
        <v>10</v>
      </c>
      <c r="C368" s="24">
        <v>260</v>
      </c>
    </row>
    <row r="369" spans="1:3" ht="12.75">
      <c r="A369" s="25">
        <v>38261</v>
      </c>
      <c r="B369" s="23" t="s">
        <v>10</v>
      </c>
      <c r="C369" s="24">
        <v>260</v>
      </c>
    </row>
    <row r="370" spans="1:3" ht="12.75">
      <c r="A370" s="25">
        <v>38292</v>
      </c>
      <c r="B370" s="23" t="s">
        <v>10</v>
      </c>
      <c r="C370" s="24">
        <v>260</v>
      </c>
    </row>
    <row r="371" spans="1:3" ht="12.75">
      <c r="A371" s="25">
        <v>38322</v>
      </c>
      <c r="B371" s="23" t="s">
        <v>10</v>
      </c>
      <c r="C371" s="24">
        <v>260</v>
      </c>
    </row>
    <row r="372" spans="1:3" ht="12.75">
      <c r="A372" s="25">
        <v>38353</v>
      </c>
      <c r="B372" s="23" t="s">
        <v>10</v>
      </c>
      <c r="C372" s="24">
        <v>260</v>
      </c>
    </row>
    <row r="373" spans="1:3" ht="12.75">
      <c r="A373" s="25">
        <v>38384</v>
      </c>
      <c r="B373" s="23" t="s">
        <v>10</v>
      </c>
      <c r="C373" s="24">
        <v>260</v>
      </c>
    </row>
    <row r="374" spans="1:3" ht="12.75">
      <c r="A374" s="25">
        <v>38412</v>
      </c>
      <c r="B374" s="23" t="s">
        <v>10</v>
      </c>
      <c r="C374" s="24">
        <v>260</v>
      </c>
    </row>
    <row r="375" spans="1:3" ht="12.75">
      <c r="A375" s="25">
        <v>38443</v>
      </c>
      <c r="B375" s="23" t="s">
        <v>10</v>
      </c>
      <c r="C375" s="24">
        <v>260</v>
      </c>
    </row>
    <row r="376" spans="1:3" ht="12.75">
      <c r="A376" s="25">
        <v>38473</v>
      </c>
      <c r="B376" s="23" t="s">
        <v>10</v>
      </c>
      <c r="C376" s="24">
        <v>300</v>
      </c>
    </row>
    <row r="377" spans="1:3" ht="12.75">
      <c r="A377" s="25">
        <v>38838</v>
      </c>
      <c r="B377" s="23" t="s">
        <v>10</v>
      </c>
      <c r="C377" s="24">
        <v>350</v>
      </c>
    </row>
    <row r="378" spans="1:3" ht="12.75">
      <c r="A378" s="25">
        <v>39203</v>
      </c>
      <c r="B378" s="23" t="s">
        <v>10</v>
      </c>
      <c r="C378" s="24">
        <v>380</v>
      </c>
    </row>
    <row r="379" spans="1:3" ht="12.75">
      <c r="A379" s="25">
        <v>39508</v>
      </c>
      <c r="B379" s="23" t="s">
        <v>10</v>
      </c>
      <c r="C379" s="24">
        <v>415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Robson Gago</cp:lastModifiedBy>
  <cp:lastPrinted>2005-08-29T19:22:17Z</cp:lastPrinted>
  <dcterms:created xsi:type="dcterms:W3CDTF">2005-08-28T01:22:04Z</dcterms:created>
  <dcterms:modified xsi:type="dcterms:W3CDTF">2008-05-19T18:25:03Z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