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5685" firstSheet="3" activeTab="3"/>
  </bookViews>
  <sheets>
    <sheet name="Indice de CM" sheetId="1" r:id="rId1"/>
    <sheet name="Salários Mínimos" sheetId="2" r:id="rId2"/>
    <sheet name="Planilha" sheetId="3" r:id="rId3"/>
    <sheet name="Atualização c-Incid. IR" sheetId="4" r:id="rId4"/>
    <sheet name="INSS Emp-Emprg" sheetId="5" r:id="rId5"/>
    <sheet name="Apurações" sheetId="6" r:id="rId6"/>
    <sheet name="Atualização s-Incid. IR" sheetId="7" r:id="rId7"/>
  </sheets>
  <externalReferences>
    <externalReference r:id="rId10"/>
  </externalReferences>
  <definedNames>
    <definedName name="_xlnm.Print_Area" localSheetId="3">'Atualização c-Incid. IR'!$A:$IV</definedName>
    <definedName name="_xlnm.Print_Area" localSheetId="6">'Atualização s-Incid. IR'!$A:$IV</definedName>
  </definedNames>
  <calcPr fullCalcOnLoad="1"/>
</workbook>
</file>

<file path=xl/sharedStrings.xml><?xml version="1.0" encoding="utf-8"?>
<sst xmlns="http://schemas.openxmlformats.org/spreadsheetml/2006/main" count="741" uniqueCount="319">
  <si>
    <t>RTE: JOÃO DA SILVA</t>
  </si>
  <si>
    <t>B</t>
  </si>
  <si>
    <t>C</t>
  </si>
  <si>
    <t>D</t>
  </si>
  <si>
    <t>E</t>
  </si>
  <si>
    <t>F</t>
  </si>
  <si>
    <t>G</t>
  </si>
  <si>
    <t>H</t>
  </si>
  <si>
    <t>PERÍODO</t>
  </si>
  <si>
    <t>SALÁRIO</t>
  </si>
  <si>
    <t>FGTS</t>
  </si>
  <si>
    <t>TOTAL</t>
  </si>
  <si>
    <t xml:space="preserve"> </t>
  </si>
  <si>
    <t>MÊS/ANO</t>
  </si>
  <si>
    <t>MÍNIMO</t>
  </si>
  <si>
    <t>BASE</t>
  </si>
  <si>
    <t>DEVIDA</t>
  </si>
  <si>
    <t>INSS</t>
  </si>
  <si>
    <t>LIQUIDO</t>
  </si>
  <si>
    <t>Cr$</t>
  </si>
  <si>
    <t>CR$</t>
  </si>
  <si>
    <t>INSAL.</t>
  </si>
  <si>
    <t>RDA: PROQ -PRODUTOS QUIMICOS LTDA.</t>
  </si>
  <si>
    <t>Período</t>
  </si>
  <si>
    <t>Valores</t>
  </si>
  <si>
    <t>mês/ano</t>
  </si>
  <si>
    <t>Valor Rescisão</t>
  </si>
  <si>
    <t>Aviso Prévio</t>
  </si>
  <si>
    <t>R$</t>
  </si>
  <si>
    <t>Ad.Not.</t>
  </si>
  <si>
    <t>nº</t>
  </si>
  <si>
    <t>valor</t>
  </si>
  <si>
    <t>Sal.p/</t>
  </si>
  <si>
    <t>Hora</t>
  </si>
  <si>
    <t>H.Extras</t>
  </si>
  <si>
    <t>RSR</t>
  </si>
  <si>
    <t>Subtotal</t>
  </si>
  <si>
    <t>K</t>
  </si>
  <si>
    <t>M</t>
  </si>
  <si>
    <t>O</t>
  </si>
  <si>
    <t>P</t>
  </si>
  <si>
    <t>R</t>
  </si>
  <si>
    <t>Juros</t>
  </si>
  <si>
    <t>Base INSS</t>
  </si>
  <si>
    <t>INSS Rda.</t>
  </si>
  <si>
    <t>Totais</t>
  </si>
  <si>
    <t>Ínidices de</t>
  </si>
  <si>
    <t>RDA.</t>
  </si>
  <si>
    <t>devidos</t>
  </si>
  <si>
    <t>Correção</t>
  </si>
  <si>
    <t>Corrigidos</t>
  </si>
  <si>
    <t xml:space="preserve">Totais </t>
  </si>
  <si>
    <t>Imposto devido: Empresa</t>
  </si>
  <si>
    <t>Seguro*</t>
  </si>
  <si>
    <t>Terceiros</t>
  </si>
  <si>
    <t>Total devido</t>
  </si>
  <si>
    <t>Ad.Not.+ H.E</t>
  </si>
  <si>
    <t>conf. plan.</t>
  </si>
  <si>
    <t>L</t>
  </si>
  <si>
    <t>N</t>
  </si>
  <si>
    <t>INSS - Empresa/Empregado - conf. lei 10035/00 - devidamente atualizado (exercício 02)</t>
  </si>
  <si>
    <t>CÁLCULO DAS VERBAS RESILITÓRIAS</t>
  </si>
  <si>
    <t>MAIOR REMUNERAÇÃO</t>
  </si>
  <si>
    <t>VALOR À INTEGRAR</t>
  </si>
  <si>
    <t>VALOR</t>
  </si>
  <si>
    <t>DEVIDO</t>
  </si>
  <si>
    <t>PAGO</t>
  </si>
  <si>
    <t>DIFERENÇA</t>
  </si>
  <si>
    <t xml:space="preserve">Aviso Prévio </t>
  </si>
  <si>
    <t>13o.SAL. (1/12) AVOS indenizado</t>
  </si>
  <si>
    <t xml:space="preserve">Férias prop.(07/12) AVOS  </t>
  </si>
  <si>
    <t>1/3 S/ Férias</t>
  </si>
  <si>
    <t>FGTS da resc. AvPrev.+13o+13ºind.  X 0,08</t>
  </si>
  <si>
    <t>Sobre a Diferença</t>
  </si>
  <si>
    <t>40% FGTS RESCISÃO</t>
  </si>
  <si>
    <t>SUBTOTAL</t>
  </si>
  <si>
    <t>DESC. INSS  sobre 13º</t>
  </si>
  <si>
    <t>TOTAL APURADO</t>
  </si>
  <si>
    <t>RESUMO DO APURADO</t>
  </si>
  <si>
    <t xml:space="preserve">TOTAL DEVIDO QUADRO </t>
  </si>
  <si>
    <t>TOTAL VERBAS RESCISÓRIAS</t>
  </si>
  <si>
    <t>TOTAL APURADO VALOR HISTÓRICO</t>
  </si>
  <si>
    <t>Valores corrigidos com incidência de Imposto de Renda</t>
  </si>
  <si>
    <t>Valor</t>
  </si>
  <si>
    <t>Indice de</t>
  </si>
  <si>
    <t xml:space="preserve">Valor </t>
  </si>
  <si>
    <t>Valor dos</t>
  </si>
  <si>
    <t>Total</t>
  </si>
  <si>
    <t>Devido</t>
  </si>
  <si>
    <t>Corrigido</t>
  </si>
  <si>
    <t xml:space="preserve"> Férias prop.</t>
  </si>
  <si>
    <t>1/3 S/ FÉRIAS</t>
  </si>
  <si>
    <t>I. R. NA FONTE</t>
  </si>
  <si>
    <t>TOTAL EM R$</t>
  </si>
  <si>
    <t>TOTAL EM TR's</t>
  </si>
  <si>
    <t>Valor da TR</t>
  </si>
  <si>
    <t>I. R. EM TR's</t>
  </si>
  <si>
    <t>Valores corrigidos sem incidência de Imposto de Renda</t>
  </si>
  <si>
    <t>FGTS+Multa Resc.</t>
  </si>
  <si>
    <t>SUBTOTAL EM R$</t>
  </si>
  <si>
    <t>13o.SAL. (8/12) AVOS</t>
  </si>
  <si>
    <t>Multa do art. 477 §§ - 6 e 8 da CLT</t>
  </si>
  <si>
    <t>13o. 8/12 - INSS</t>
  </si>
  <si>
    <t>Multa do Art.477</t>
  </si>
  <si>
    <t>D7 = C7*3</t>
  </si>
  <si>
    <t>G7 = (D7+E7)/220*0,20*F7</t>
  </si>
  <si>
    <t>H7 = (D7+E7+G7)/220</t>
  </si>
  <si>
    <t>VERBAS DEVIDAS</t>
  </si>
  <si>
    <t>S</t>
  </si>
  <si>
    <t>T</t>
  </si>
  <si>
    <t>U</t>
  </si>
  <si>
    <t>V</t>
  </si>
  <si>
    <t>Fórmulas:</t>
  </si>
  <si>
    <t>C7 = 1 sal. mínimo</t>
  </si>
  <si>
    <t xml:space="preserve">M7 = H7*1,50*L7 </t>
  </si>
  <si>
    <t>N7 = (G7+M7)/6</t>
  </si>
  <si>
    <t>O7 = E7+G7+M7+N7</t>
  </si>
  <si>
    <t xml:space="preserve">P7 = Conf. planilha INSS </t>
  </si>
  <si>
    <t>S7 = O7-P7</t>
  </si>
  <si>
    <t>T7 = O7*0,08(8%)</t>
  </si>
  <si>
    <t>13º 1/12 indeniz.</t>
  </si>
  <si>
    <r>
      <t xml:space="preserve">                  </t>
    </r>
    <r>
      <rPr>
        <b/>
        <sz val="10"/>
        <rFont val="Arial"/>
        <family val="2"/>
      </rPr>
      <t xml:space="preserve">acumuladamente, o imposto incidirá no mês do recebimento, sobre o total dos </t>
    </r>
  </si>
  <si>
    <t xml:space="preserve">                  rendimentos, inclusive juros e atualização monetária.</t>
  </si>
  <si>
    <t>AM+Juros</t>
  </si>
  <si>
    <t>Valor em TR's</t>
  </si>
  <si>
    <r>
      <t xml:space="preserve">                  </t>
    </r>
    <r>
      <rPr>
        <b/>
        <sz val="10"/>
        <rFont val="Arial"/>
        <family val="2"/>
      </rPr>
      <t>nº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3.000 de 26/03/1999, </t>
    </r>
    <r>
      <rPr>
        <b/>
        <sz val="9"/>
        <rFont val="Arial"/>
        <family val="2"/>
      </rPr>
      <t>seção VI, art. 56, ou seja, no caso  de rendimentos recebidos</t>
    </r>
    <r>
      <rPr>
        <b/>
        <sz val="10"/>
        <rFont val="Arial"/>
        <family val="2"/>
      </rPr>
      <t xml:space="preserve"> </t>
    </r>
  </si>
  <si>
    <t>E7 = C7*0,20 (20%)</t>
  </si>
  <si>
    <t>13º/96</t>
  </si>
  <si>
    <t>PROCESSO:555/97 DA  35a.VT/RJ</t>
  </si>
  <si>
    <t>PODER JUDICIÁRIO</t>
  </si>
  <si>
    <t>JUSTIÇA DO TRABALHO</t>
  </si>
  <si>
    <t>CONSELHO SUPERIOR DA JUSTIÇA DO TRABALHO</t>
  </si>
  <si>
    <t>TABELA ÚNICA DE ATUALIZAÇÃO E CONVERSÃO DE DÉBITOS TRABALHISTAS</t>
  </si>
  <si>
    <t>TABELA VIGENTE EM SETEMBRO DE 2006</t>
  </si>
  <si>
    <t>Mês/Ano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</si>
  <si>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</si>
  <si>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</si>
  <si>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</si>
  <si>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</si>
  <si>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</si>
  <si>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</si>
  <si>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</si>
  <si>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</si>
  <si>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</si>
  <si>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</si>
  <si>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</si>
  <si>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JAN</t>
  </si>
  <si>
    <t xml:space="preserve">    1,638086467</t>
  </si>
  <si>
    <t xml:space="preserve">    1,494807787</t>
  </si>
  <si>
    <t xml:space="preserve">    1,361577576</t>
  </si>
  <si>
    <t xml:space="preserve">    1,263130943</t>
  </si>
  <si>
    <t xml:space="preserve">    1,194680914</t>
  </si>
  <si>
    <t xml:space="preserve">    1,170150927</t>
  </si>
  <si>
    <t xml:space="preserve">    1,144007432</t>
  </si>
  <si>
    <t xml:space="preserve">    1,112820196</t>
  </si>
  <si>
    <t xml:space="preserve">    1,063387208</t>
  </si>
  <si>
    <t xml:space="preserve">    1,044395726</t>
  </si>
  <si>
    <t xml:space="preserve">    1,015617927</t>
  </si>
  <si>
    <t>FEV</t>
  </si>
  <si>
    <t xml:space="preserve">    1,617821633</t>
  </si>
  <si>
    <t xml:space="preserve">    1,483768549</t>
  </si>
  <si>
    <t xml:space="preserve">    1,346152020</t>
  </si>
  <si>
    <t xml:space="preserve">    1,256642896</t>
  </si>
  <si>
    <t xml:space="preserve">    1,192119050</t>
  </si>
  <si>
    <t xml:space="preserve">    1,168551181</t>
  </si>
  <si>
    <t xml:space="preserve">    1,141050969</t>
  </si>
  <si>
    <t xml:space="preserve">    1,107418210</t>
  </si>
  <si>
    <t xml:space="preserve">    1,062027813</t>
  </si>
  <si>
    <t xml:space="preserve">    1,042435946</t>
  </si>
  <si>
    <t xml:space="preserve">    1,013261082</t>
  </si>
  <si>
    <t>MAR</t>
  </si>
  <si>
    <t xml:space="preserve">    1,602398547</t>
  </si>
  <si>
    <t xml:space="preserve">    1,474016456</t>
  </si>
  <si>
    <t xml:space="preserve">    1,340173506</t>
  </si>
  <si>
    <t xml:space="preserve">    1,246301089</t>
  </si>
  <si>
    <t xml:space="preserve">    1,189350243</t>
  </si>
  <si>
    <t xml:space="preserve">    1,168121312</t>
  </si>
  <si>
    <t xml:space="preserve">    1,139716361</t>
  </si>
  <si>
    <t xml:space="preserve">    1,102878761</t>
  </si>
  <si>
    <t xml:space="preserve">    1,061541626</t>
  </si>
  <si>
    <t xml:space="preserve">    1,041434087</t>
  </si>
  <si>
    <t xml:space="preserve">    1,012527000</t>
  </si>
  <si>
    <t>ABR</t>
  </si>
  <si>
    <t xml:space="preserve">    1,589461916</t>
  </si>
  <si>
    <t xml:space="preserve">    1,464765000</t>
  </si>
  <si>
    <t xml:space="preserve">    1,328226112</t>
  </si>
  <si>
    <t xml:space="preserve">    1,231992726</t>
  </si>
  <si>
    <t xml:space="preserve">    1,186689685</t>
  </si>
  <si>
    <t xml:space="preserve">    1,166110937</t>
  </si>
  <si>
    <t xml:space="preserve">    1,137716256</t>
  </si>
  <si>
    <t xml:space="preserve">    1,098723389</t>
  </si>
  <si>
    <t xml:space="preserve">    1,059657555</t>
  </si>
  <si>
    <t xml:space="preserve">    1,038697120</t>
  </si>
  <si>
    <t xml:space="preserve">    1,010432374</t>
  </si>
  <si>
    <t>MAI</t>
  </si>
  <si>
    <t xml:space="preserve">    1,579044957</t>
  </si>
  <si>
    <t xml:space="preserve">    1,455723501</t>
  </si>
  <si>
    <t xml:space="preserve">    1,321986337</t>
  </si>
  <si>
    <t xml:space="preserve">    1,224532871</t>
  </si>
  <si>
    <t xml:space="preserve">    1,185147807</t>
  </si>
  <si>
    <t xml:space="preserve">    1,164310912</t>
  </si>
  <si>
    <t xml:space="preserve">    1,135040964</t>
  </si>
  <si>
    <t xml:space="preserve">    1,094145484</t>
  </si>
  <si>
    <t xml:space="preserve">    1,058732223</t>
  </si>
  <si>
    <t xml:space="preserve">    1,036620768</t>
  </si>
  <si>
    <t xml:space="preserve">    1,009569192</t>
  </si>
  <si>
    <t>JUN</t>
  </si>
  <si>
    <t xml:space="preserve">    1,569801963</t>
  </si>
  <si>
    <t xml:space="preserve">    1,446532236</t>
  </si>
  <si>
    <t xml:space="preserve">    1,316007714</t>
  </si>
  <si>
    <t xml:space="preserve">    1,217518746</t>
  </si>
  <si>
    <t xml:space="preserve">    1,182201760</t>
  </si>
  <si>
    <t xml:space="preserve">    1,162187595</t>
  </si>
  <si>
    <t xml:space="preserve">    1,132660113</t>
  </si>
  <si>
    <t xml:space="preserve">    1,089081257</t>
  </si>
  <si>
    <t xml:space="preserve">    1,057097950</t>
  </si>
  <si>
    <t xml:space="preserve">    1,034007831</t>
  </si>
  <si>
    <t xml:space="preserve">    1,007666717</t>
  </si>
  <si>
    <t>JUL</t>
  </si>
  <si>
    <t xml:space="preserve">    1,560285780</t>
  </si>
  <si>
    <t xml:space="preserve">    1,437140522</t>
  </si>
  <si>
    <t xml:space="preserve">    1,309573778</t>
  </si>
  <si>
    <t xml:space="preserve">    1,213746422</t>
  </si>
  <si>
    <t xml:space="preserve">    1,179677251</t>
  </si>
  <si>
    <t xml:space="preserve">    1,160495593</t>
  </si>
  <si>
    <t xml:space="preserve">    1,130871075</t>
  </si>
  <si>
    <t xml:space="preserve">    1,084562967</t>
  </si>
  <si>
    <t xml:space="preserve">    1,055239673</t>
  </si>
  <si>
    <t xml:space="preserve">    1,030922280</t>
  </si>
  <si>
    <t xml:space="preserve">    1,005718640</t>
  </si>
  <si>
    <t>AGO</t>
  </si>
  <si>
    <t xml:space="preserve">    1,551209652</t>
  </si>
  <si>
    <t xml:space="preserve">    1,427745954</t>
  </si>
  <si>
    <t xml:space="preserve">    1,302406634</t>
  </si>
  <si>
    <t xml:space="preserve">    1,210196914</t>
  </si>
  <si>
    <t xml:space="preserve">    1,177855109</t>
  </si>
  <si>
    <t xml:space="preserve">    1,157669721</t>
  </si>
  <si>
    <t xml:space="preserve">    1,127875438</t>
  </si>
  <si>
    <t xml:space="preserve">    1,078668046</t>
  </si>
  <si>
    <t xml:space="preserve">    1,053183858</t>
  </si>
  <si>
    <t xml:space="preserve">    1,028274473</t>
  </si>
  <si>
    <t xml:space="preserve">    1,003960705</t>
  </si>
  <si>
    <t>SET</t>
  </si>
  <si>
    <t xml:space="preserve">    1,541536511</t>
  </si>
  <si>
    <t xml:space="preserve">    1,418849766</t>
  </si>
  <si>
    <t xml:space="preserve">    1,297542148</t>
  </si>
  <si>
    <t xml:space="preserve">    1,206643350</t>
  </si>
  <si>
    <t xml:space="preserve">    1,175474773</t>
  </si>
  <si>
    <t xml:space="preserve">    1,153705589</t>
  </si>
  <si>
    <t xml:space="preserve">    1,125084104</t>
  </si>
  <si>
    <t xml:space="preserve">    1,074329902</t>
  </si>
  <si>
    <t xml:space="preserve">    1,051076450</t>
  </si>
  <si>
    <t xml:space="preserve">    1,024722784</t>
  </si>
  <si>
    <t xml:space="preserve">    1,001521000</t>
  </si>
  <si>
    <t>OUT</t>
  </si>
  <si>
    <t xml:space="preserve">    1,531398651</t>
  </si>
  <si>
    <t xml:space="preserve">    1,409723218</t>
  </si>
  <si>
    <t xml:space="preserve">    1,291713935</t>
  </si>
  <si>
    <t xml:space="preserve">    1,203376183</t>
  </si>
  <si>
    <t xml:space="preserve">    1,174255895</t>
  </si>
  <si>
    <t xml:space="preserve">    1,151831559</t>
  </si>
  <si>
    <t xml:space="preserve">    1,122888856</t>
  </si>
  <si>
    <t xml:space="preserve">    1,070727973</t>
  </si>
  <si>
    <t xml:space="preserve">    1,049263323</t>
  </si>
  <si>
    <t xml:space="preserve">    1,022027697</t>
  </si>
  <si>
    <t>-</t>
  </si>
  <si>
    <t>NOV</t>
  </si>
  <si>
    <t xml:space="preserve">    1,520120875</t>
  </si>
  <si>
    <t xml:space="preserve">    1,400545443</t>
  </si>
  <si>
    <t xml:space="preserve">    1,280329247</t>
  </si>
  <si>
    <t xml:space="preserve">    1,200656696</t>
  </si>
  <si>
    <t xml:space="preserve">    1,172712605</t>
  </si>
  <si>
    <t xml:space="preserve">    1,148486019</t>
  </si>
  <si>
    <t xml:space="preserve">    1,119789279</t>
  </si>
  <si>
    <t xml:space="preserve">    1,067298742</t>
  </si>
  <si>
    <t xml:space="preserve">    1,048102026</t>
  </si>
  <si>
    <t xml:space="preserve">    1,019885937</t>
  </si>
  <si>
    <t>DEZ</t>
  </si>
  <si>
    <t xml:space="preserve">    1,507838026</t>
  </si>
  <si>
    <t xml:space="preserve">    1,379393819</t>
  </si>
  <si>
    <t xml:space="preserve">    1,272521058</t>
  </si>
  <si>
    <t xml:space="preserve">    1,198262567</t>
  </si>
  <si>
    <t xml:space="preserve">    1,171310547</t>
  </si>
  <si>
    <t xml:space="preserve">    1,146275999</t>
  </si>
  <si>
    <t xml:space="preserve">    1,116836364</t>
  </si>
  <si>
    <t xml:space="preserve">    1,065406580</t>
  </si>
  <si>
    <t xml:space="preserve">    1,046902276</t>
  </si>
  <si>
    <t xml:space="preserve">    1,017922365</t>
  </si>
  <si>
    <t>Notas Técnicas:</t>
  </si>
  <si>
    <t>1.Os coeficientes de atualização acima consignados atualizam os débitos trabalhistas desde o primeiro dia do mês/ano indicado até o último dia do mês de vigência da Tabela;</t>
  </si>
  <si>
    <t>2. Esta Tabela não inclui juros de mora, que devem ser calculados sobre os valores corrigidos, de acordo com a legislação vigente em cada período;</t>
  </si>
  <si>
    <t>Informações:</t>
  </si>
  <si>
    <t>Assessoria Econômica do TST</t>
  </si>
  <si>
    <t>Responsável: Oswaldo Moreira da Costa Júnior (CRC/DF: 018448/O-5)</t>
  </si>
  <si>
    <t>Tel.: (61) 3314-4677,  3314-4676 (e-mail: asec@tst.gov.br)</t>
  </si>
  <si>
    <t>RTE</t>
  </si>
  <si>
    <t>% Tabela do</t>
  </si>
  <si>
    <t>Retido RTE</t>
  </si>
  <si>
    <t>Moeda</t>
  </si>
  <si>
    <t>da Época</t>
  </si>
  <si>
    <t>Salário Mínimo</t>
  </si>
  <si>
    <t>Cz$</t>
  </si>
  <si>
    <t>NCz$</t>
  </si>
  <si>
    <t>URV p/CR$</t>
  </si>
  <si>
    <t>Adicional de Insalubridade  20% s/ Sal. Minimo</t>
  </si>
  <si>
    <t>Último Salário</t>
  </si>
  <si>
    <t xml:space="preserve">RSR 1/6  =&gt; </t>
  </si>
  <si>
    <t>Férias Venc. 96/97</t>
  </si>
  <si>
    <t>Valor c/ 50%</t>
  </si>
  <si>
    <t>U7 = T7*0,40(40%)</t>
  </si>
  <si>
    <t>V7 = S7+T7+U7</t>
  </si>
  <si>
    <t>Ajuizamento em 16/10/1997 =&gt; Juros de 107,47% =&gt; 30/09/2006</t>
  </si>
  <si>
    <t xml:space="preserve">Obs.:)- O imposto de Renda também poderá ser calculado conforme determina o Decreto             </t>
  </si>
  <si>
    <t>Simples</t>
  </si>
  <si>
    <t>CM+Juros</t>
  </si>
  <si>
    <t>Tot. Col. "v"</t>
  </si>
  <si>
    <t>Média de Ad.Not. =&gt; 1,75 x 0,20 x 49,58</t>
  </si>
  <si>
    <r>
      <t>Média  H.Ext.</t>
    </r>
    <r>
      <rPr>
        <sz val="8"/>
        <rFont val="Arial"/>
        <family val="2"/>
      </rPr>
      <t>=&gt; 50% =&gt; 1,82 x 1,50 x 71,23</t>
    </r>
  </si>
  <si>
    <t>A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</si>
</sst>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0"/>
    <numFmt numFmtId="177" formatCode="#,##0.0000"/>
    <numFmt numFmtId="178" formatCode="0.000000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_);_(* \(#,##0.000000\);_(* &quot;-&quot;??????????_);_(@_)"/>
    <numFmt numFmtId="185" formatCode="_(* #,##0.0000_);_(* \(#,##0.0000\);_(* &quot;-&quot;????????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0.0%"/>
    <numFmt numFmtId="191" formatCode="0.0000000"/>
    <numFmt numFmtId="192" formatCode="0.00000000"/>
    <numFmt numFmtId="193" formatCode="0.000000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0.0000000000"/>
    <numFmt numFmtId="198" formatCode="_(* #,##0.00000000_);_(* \(#,##0.00000000\);_(* &quot;-&quot;????????_);_(@_)"/>
    <numFmt numFmtId="199" formatCode="0.0"/>
    <numFmt numFmtId="200" formatCode="0.000"/>
    <numFmt numFmtId="201" formatCode="0.0000"/>
    <numFmt numFmtId="202" formatCode="0.00000"/>
    <numFmt numFmtId="203" formatCode="_(* #,##0.0000000000_);_(* \(#,##0.0000000000\);_(* &quot;-&quot;????????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16"/>
      <name val="Arial"/>
      <family val="2"/>
    </font>
    <font>
      <b/>
      <sz val="10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3" fontId="1" fillId="0" borderId="2" xfId="18" applyFont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9" fontId="7" fillId="0" borderId="10" xfId="0" applyNumberFormat="1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17" fontId="7" fillId="0" borderId="12" xfId="0" applyNumberFormat="1" applyFont="1" applyBorder="1" applyAlignment="1">
      <alignment/>
    </xf>
    <xf numFmtId="43" fontId="7" fillId="0" borderId="13" xfId="18" applyFont="1" applyBorder="1" applyAlignment="1">
      <alignment/>
    </xf>
    <xf numFmtId="43" fontId="7" fillId="0" borderId="13" xfId="18" applyNumberFormat="1" applyFont="1" applyBorder="1" applyAlignment="1">
      <alignment/>
    </xf>
    <xf numFmtId="43" fontId="7" fillId="0" borderId="14" xfId="18" applyNumberFormat="1" applyFont="1" applyBorder="1" applyAlignment="1">
      <alignment/>
    </xf>
    <xf numFmtId="43" fontId="7" fillId="0" borderId="14" xfId="18" applyFont="1" applyBorder="1" applyAlignment="1">
      <alignment/>
    </xf>
    <xf numFmtId="17" fontId="11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5" fontId="7" fillId="0" borderId="12" xfId="0" applyNumberFormat="1" applyFont="1" applyBorder="1" applyAlignment="1">
      <alignment/>
    </xf>
    <xf numFmtId="9" fontId="7" fillId="0" borderId="15" xfId="0" applyNumberFormat="1" applyFont="1" applyBorder="1" applyAlignment="1" quotePrefix="1">
      <alignment horizontal="center"/>
    </xf>
    <xf numFmtId="43" fontId="7" fillId="0" borderId="16" xfId="18" applyFont="1" applyBorder="1" applyAlignment="1">
      <alignment/>
    </xf>
    <xf numFmtId="0" fontId="7" fillId="0" borderId="1" xfId="0" applyFont="1" applyBorder="1" applyAlignment="1">
      <alignment horizontal="center"/>
    </xf>
    <xf numFmtId="15" fontId="7" fillId="0" borderId="17" xfId="18" applyNumberFormat="1" applyFont="1" applyBorder="1" applyAlignment="1">
      <alignment/>
    </xf>
    <xf numFmtId="43" fontId="7" fillId="0" borderId="18" xfId="18" applyFont="1" applyBorder="1" applyAlignment="1">
      <alignment/>
    </xf>
    <xf numFmtId="17" fontId="7" fillId="0" borderId="17" xfId="18" applyNumberFormat="1" applyFont="1" applyBorder="1" applyAlignment="1">
      <alignment/>
    </xf>
    <xf numFmtId="43" fontId="7" fillId="0" borderId="19" xfId="18" applyFont="1" applyBorder="1" applyAlignment="1">
      <alignment/>
    </xf>
    <xf numFmtId="43" fontId="7" fillId="0" borderId="20" xfId="18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3" fontId="7" fillId="0" borderId="18" xfId="18" applyNumberFormat="1" applyFont="1" applyBorder="1" applyAlignment="1">
      <alignment/>
    </xf>
    <xf numFmtId="17" fontId="7" fillId="0" borderId="23" xfId="0" applyNumberFormat="1" applyFont="1" applyBorder="1" applyAlignment="1">
      <alignment/>
    </xf>
    <xf numFmtId="43" fontId="0" fillId="0" borderId="0" xfId="0" applyNumberFormat="1" applyAlignment="1">
      <alignment/>
    </xf>
    <xf numFmtId="43" fontId="7" fillId="0" borderId="24" xfId="18" applyFont="1" applyBorder="1" applyAlignment="1">
      <alignment/>
    </xf>
    <xf numFmtId="43" fontId="1" fillId="0" borderId="24" xfId="0" applyNumberFormat="1" applyFont="1" applyBorder="1" applyAlignment="1">
      <alignment/>
    </xf>
    <xf numFmtId="43" fontId="0" fillId="0" borderId="25" xfId="18" applyBorder="1" applyAlignment="1">
      <alignment/>
    </xf>
    <xf numFmtId="0" fontId="1" fillId="0" borderId="0" xfId="0" applyFont="1" applyAlignment="1">
      <alignment/>
    </xf>
    <xf numFmtId="17" fontId="0" fillId="0" borderId="23" xfId="0" applyNumberFormat="1" applyBorder="1" applyAlignment="1">
      <alignment/>
    </xf>
    <xf numFmtId="10" fontId="0" fillId="0" borderId="25" xfId="18" applyNumberFormat="1" applyBorder="1" applyAlignment="1">
      <alignment/>
    </xf>
    <xf numFmtId="0" fontId="1" fillId="0" borderId="0" xfId="0" applyFont="1" applyBorder="1" applyAlignment="1">
      <alignment/>
    </xf>
    <xf numFmtId="17" fontId="0" fillId="0" borderId="26" xfId="0" applyNumberFormat="1" applyBorder="1" applyAlignment="1">
      <alignment/>
    </xf>
    <xf numFmtId="43" fontId="1" fillId="2" borderId="24" xfId="18" applyFont="1" applyFill="1" applyBorder="1" applyAlignment="1">
      <alignment/>
    </xf>
    <xf numFmtId="0" fontId="0" fillId="2" borderId="24" xfId="0" applyFill="1" applyBorder="1" applyAlignment="1">
      <alignment/>
    </xf>
    <xf numFmtId="43" fontId="12" fillId="2" borderId="27" xfId="18" applyFont="1" applyFill="1" applyBorder="1" applyAlignment="1">
      <alignment/>
    </xf>
    <xf numFmtId="43" fontId="12" fillId="2" borderId="2" xfId="18" applyFont="1" applyFill="1" applyBorder="1" applyAlignment="1">
      <alignment/>
    </xf>
    <xf numFmtId="43" fontId="1" fillId="2" borderId="24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1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8" xfId="0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43" fontId="0" fillId="0" borderId="0" xfId="0" applyNumberFormat="1" applyBorder="1" applyAlignment="1">
      <alignment/>
    </xf>
    <xf numFmtId="43" fontId="5" fillId="0" borderId="0" xfId="18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1" xfId="0" applyFill="1" applyBorder="1" applyAlignment="1">
      <alignment/>
    </xf>
    <xf numFmtId="0" fontId="0" fillId="2" borderId="28" xfId="0" applyFill="1" applyBorder="1" applyAlignment="1">
      <alignment/>
    </xf>
    <xf numFmtId="43" fontId="0" fillId="2" borderId="22" xfId="18" applyFill="1" applyBorder="1" applyAlignment="1">
      <alignment/>
    </xf>
    <xf numFmtId="0" fontId="10" fillId="0" borderId="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0" fillId="0" borderId="7" xfId="1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31" xfId="18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43" fontId="14" fillId="0" borderId="4" xfId="0" applyNumberFormat="1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43" fontId="14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30" xfId="0" applyFont="1" applyBorder="1" applyAlignment="1">
      <alignment/>
    </xf>
    <xf numFmtId="15" fontId="1" fillId="0" borderId="28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5" fontId="1" fillId="0" borderId="2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15" fontId="1" fillId="0" borderId="30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16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" fontId="6" fillId="0" borderId="2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" fontId="6" fillId="0" borderId="23" xfId="0" applyNumberFormat="1" applyFont="1" applyBorder="1" applyAlignment="1">
      <alignment/>
    </xf>
    <xf numFmtId="43" fontId="5" fillId="0" borderId="25" xfId="18" applyFont="1" applyBorder="1" applyAlignment="1">
      <alignment/>
    </xf>
    <xf numFmtId="180" fontId="5" fillId="0" borderId="25" xfId="18" applyNumberFormat="1" applyFont="1" applyBorder="1" applyAlignment="1">
      <alignment/>
    </xf>
    <xf numFmtId="43" fontId="5" fillId="0" borderId="19" xfId="18" applyFont="1" applyBorder="1" applyAlignment="1">
      <alignment/>
    </xf>
    <xf numFmtId="43" fontId="5" fillId="0" borderId="18" xfId="18" applyFont="1" applyBorder="1" applyAlignment="1">
      <alignment/>
    </xf>
    <xf numFmtId="43" fontId="5" fillId="0" borderId="19" xfId="18" applyFont="1" applyFill="1" applyBorder="1" applyAlignment="1">
      <alignment/>
    </xf>
    <xf numFmtId="43" fontId="6" fillId="0" borderId="23" xfId="0" applyNumberFormat="1" applyFont="1" applyBorder="1" applyAlignment="1">
      <alignment horizontal="left"/>
    </xf>
    <xf numFmtId="0" fontId="9" fillId="0" borderId="23" xfId="0" applyFont="1" applyFill="1" applyBorder="1" applyAlignment="1">
      <alignment/>
    </xf>
    <xf numFmtId="43" fontId="6" fillId="3" borderId="25" xfId="0" applyNumberFormat="1" applyFont="1" applyFill="1" applyBorder="1" applyAlignment="1">
      <alignment/>
    </xf>
    <xf numFmtId="0" fontId="0" fillId="2" borderId="25" xfId="0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9" fillId="0" borderId="19" xfId="0" applyNumberFormat="1" applyFont="1" applyFill="1" applyBorder="1" applyAlignment="1">
      <alignment/>
    </xf>
    <xf numFmtId="10" fontId="9" fillId="0" borderId="25" xfId="0" applyNumberFormat="1" applyFont="1" applyBorder="1" applyAlignment="1">
      <alignment/>
    </xf>
    <xf numFmtId="0" fontId="9" fillId="0" borderId="25" xfId="0" applyFont="1" applyBorder="1" applyAlignment="1">
      <alignment/>
    </xf>
    <xf numFmtId="43" fontId="9" fillId="3" borderId="25" xfId="0" applyNumberFormat="1" applyFont="1" applyFill="1" applyBorder="1" applyAlignment="1">
      <alignment/>
    </xf>
    <xf numFmtId="43" fontId="9" fillId="0" borderId="19" xfId="18" applyFont="1" applyBorder="1" applyAlignment="1">
      <alignment/>
    </xf>
    <xf numFmtId="43" fontId="9" fillId="0" borderId="19" xfId="0" applyNumberFormat="1" applyFont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3" xfId="0" applyFont="1" applyBorder="1" applyAlignment="1">
      <alignment/>
    </xf>
    <xf numFmtId="0" fontId="0" fillId="2" borderId="16" xfId="0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6" fillId="2" borderId="3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16" fontId="6" fillId="0" borderId="35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" fontId="6" fillId="0" borderId="40" xfId="0" applyNumberFormat="1" applyFont="1" applyBorder="1" applyAlignment="1">
      <alignment horizontal="center"/>
    </xf>
    <xf numFmtId="17" fontId="6" fillId="0" borderId="41" xfId="0" applyNumberFormat="1" applyFont="1" applyBorder="1" applyAlignment="1">
      <alignment/>
    </xf>
    <xf numFmtId="43" fontId="5" fillId="0" borderId="40" xfId="18" applyFont="1" applyBorder="1" applyAlignment="1">
      <alignment/>
    </xf>
    <xf numFmtId="43" fontId="5" fillId="0" borderId="13" xfId="18" applyFont="1" applyBorder="1" applyAlignment="1">
      <alignment/>
    </xf>
    <xf numFmtId="0" fontId="0" fillId="0" borderId="0" xfId="0" applyFont="1" applyAlignment="1">
      <alignment/>
    </xf>
    <xf numFmtId="17" fontId="6" fillId="0" borderId="42" xfId="0" applyNumberFormat="1" applyFont="1" applyBorder="1" applyAlignment="1">
      <alignment/>
    </xf>
    <xf numFmtId="43" fontId="5" fillId="0" borderId="43" xfId="18" applyFont="1" applyBorder="1" applyAlignment="1">
      <alignment/>
    </xf>
    <xf numFmtId="43" fontId="5" fillId="0" borderId="44" xfId="18" applyFont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43" fontId="1" fillId="0" borderId="22" xfId="18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89" fontId="5" fillId="0" borderId="25" xfId="18" applyNumberFormat="1" applyFont="1" applyBorder="1" applyAlignment="1">
      <alignment/>
    </xf>
    <xf numFmtId="17" fontId="7" fillId="0" borderId="24" xfId="18" applyNumberFormat="1" applyFont="1" applyBorder="1" applyAlignment="1">
      <alignment/>
    </xf>
    <xf numFmtId="0" fontId="6" fillId="3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" fontId="7" fillId="0" borderId="24" xfId="18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18" applyNumberFormat="1" applyFont="1" applyFill="1" applyBorder="1" applyAlignment="1">
      <alignment/>
    </xf>
    <xf numFmtId="43" fontId="7" fillId="0" borderId="0" xfId="18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" fillId="0" borderId="0" xfId="0" applyFont="1" applyFill="1" applyAlignment="1">
      <alignment/>
    </xf>
    <xf numFmtId="15" fontId="7" fillId="0" borderId="28" xfId="0" applyNumberFormat="1" applyFont="1" applyBorder="1" applyAlignment="1">
      <alignment horizontal="center"/>
    </xf>
    <xf numFmtId="17" fontId="7" fillId="0" borderId="29" xfId="18" applyNumberFormat="1" applyFont="1" applyBorder="1" applyAlignment="1">
      <alignment/>
    </xf>
    <xf numFmtId="0" fontId="1" fillId="0" borderId="47" xfId="0" applyFont="1" applyFill="1" applyBorder="1" applyAlignment="1">
      <alignment/>
    </xf>
    <xf numFmtId="43" fontId="1" fillId="0" borderId="20" xfId="18" applyFont="1" applyFill="1" applyBorder="1" applyAlignment="1">
      <alignment horizontal="center"/>
    </xf>
    <xf numFmtId="43" fontId="0" fillId="2" borderId="48" xfId="18" applyFont="1" applyFill="1" applyBorder="1" applyAlignment="1">
      <alignment horizontal="center"/>
    </xf>
    <xf numFmtId="43" fontId="1" fillId="0" borderId="33" xfId="0" applyNumberFormat="1" applyFont="1" applyFill="1" applyBorder="1" applyAlignment="1">
      <alignment/>
    </xf>
    <xf numFmtId="43" fontId="1" fillId="0" borderId="49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9" fillId="0" borderId="19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197" fontId="5" fillId="0" borderId="25" xfId="0" applyNumberFormat="1" applyFont="1" applyBorder="1" applyAlignment="1">
      <alignment horizontal="right"/>
    </xf>
    <xf numFmtId="197" fontId="5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0" fontId="9" fillId="0" borderId="32" xfId="0" applyNumberFormat="1" applyFont="1" applyFill="1" applyBorder="1" applyAlignment="1">
      <alignment horizontal="center"/>
    </xf>
    <xf numFmtId="14" fontId="0" fillId="0" borderId="35" xfId="0" applyNumberFormat="1" applyFont="1" applyFill="1" applyBorder="1" applyAlignment="1">
      <alignment/>
    </xf>
    <xf numFmtId="43" fontId="0" fillId="0" borderId="54" xfId="18" applyFont="1" applyFill="1" applyBorder="1" applyAlignment="1">
      <alignment/>
    </xf>
    <xf numFmtId="197" fontId="5" fillId="0" borderId="25" xfId="0" applyNumberFormat="1" applyFont="1" applyFill="1" applyBorder="1" applyAlignment="1">
      <alignment horizontal="right"/>
    </xf>
    <xf numFmtId="17" fontId="0" fillId="0" borderId="23" xfId="0" applyNumberFormat="1" applyFont="1" applyFill="1" applyBorder="1" applyAlignment="1">
      <alignment/>
    </xf>
    <xf numFmtId="43" fontId="0" fillId="0" borderId="25" xfId="18" applyFont="1" applyFill="1" applyBorder="1" applyAlignment="1">
      <alignment/>
    </xf>
    <xf numFmtId="10" fontId="0" fillId="0" borderId="25" xfId="18" applyNumberFormat="1" applyFont="1" applyFill="1" applyBorder="1" applyAlignment="1">
      <alignment/>
    </xf>
    <xf numFmtId="43" fontId="15" fillId="0" borderId="0" xfId="0" applyNumberFormat="1" applyFont="1" applyFill="1" applyBorder="1" applyAlignment="1">
      <alignment horizontal="center"/>
    </xf>
    <xf numFmtId="43" fontId="16" fillId="0" borderId="31" xfId="0" applyNumberFormat="1" applyFont="1" applyBorder="1" applyAlignment="1">
      <alignment/>
    </xf>
    <xf numFmtId="43" fontId="17" fillId="0" borderId="4" xfId="0" applyNumberFormat="1" applyFont="1" applyBorder="1" applyAlignment="1">
      <alignment/>
    </xf>
    <xf numFmtId="43" fontId="18" fillId="0" borderId="31" xfId="18" applyFont="1" applyFill="1" applyBorder="1" applyAlignment="1">
      <alignment/>
    </xf>
    <xf numFmtId="43" fontId="0" fillId="4" borderId="0" xfId="0" applyNumberFormat="1" applyFont="1" applyFill="1" applyBorder="1" applyAlignment="1">
      <alignment/>
    </xf>
    <xf numFmtId="43" fontId="5" fillId="4" borderId="0" xfId="18" applyFont="1" applyFill="1" applyBorder="1" applyAlignment="1">
      <alignment/>
    </xf>
    <xf numFmtId="14" fontId="0" fillId="0" borderId="0" xfId="0" applyNumberFormat="1" applyAlignment="1">
      <alignment/>
    </xf>
    <xf numFmtId="0" fontId="15" fillId="0" borderId="0" xfId="0" applyFont="1" applyAlignment="1">
      <alignment/>
    </xf>
    <xf numFmtId="43" fontId="0" fillId="0" borderId="0" xfId="18" applyFont="1" applyAlignment="1">
      <alignment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92" fontId="6" fillId="3" borderId="16" xfId="0" applyNumberFormat="1" applyFont="1" applyFill="1" applyBorder="1" applyAlignment="1">
      <alignment/>
    </xf>
    <xf numFmtId="192" fontId="6" fillId="3" borderId="11" xfId="0" applyNumberFormat="1" applyFont="1" applyFill="1" applyBorder="1" applyAlignment="1">
      <alignment/>
    </xf>
    <xf numFmtId="0" fontId="6" fillId="0" borderId="25" xfId="0" applyFont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3" fontId="5" fillId="0" borderId="25" xfId="18" applyFont="1" applyBorder="1" applyAlignment="1">
      <alignment horizontal="center"/>
    </xf>
    <xf numFmtId="17" fontId="5" fillId="0" borderId="25" xfId="0" applyNumberFormat="1" applyFont="1" applyBorder="1" applyAlignment="1">
      <alignment horizontal="center"/>
    </xf>
    <xf numFmtId="43" fontId="0" fillId="5" borderId="21" xfId="0" applyNumberFormat="1" applyFont="1" applyFill="1" applyBorder="1" applyAlignment="1">
      <alignment horizontal="center"/>
    </xf>
    <xf numFmtId="43" fontId="15" fillId="5" borderId="31" xfId="0" applyNumberFormat="1" applyFont="1" applyFill="1" applyBorder="1" applyAlignment="1">
      <alignment horizontal="center"/>
    </xf>
    <xf numFmtId="43" fontId="0" fillId="5" borderId="22" xfId="18" applyFont="1" applyFill="1" applyBorder="1" applyAlignment="1">
      <alignment/>
    </xf>
    <xf numFmtId="43" fontId="0" fillId="5" borderId="21" xfId="18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1" xfId="0" applyFont="1" applyBorder="1" applyAlignment="1">
      <alignment/>
    </xf>
    <xf numFmtId="43" fontId="0" fillId="0" borderId="21" xfId="18" applyFont="1" applyFill="1" applyBorder="1" applyAlignment="1">
      <alignment horizontal="center"/>
    </xf>
    <xf numFmtId="43" fontId="15" fillId="0" borderId="31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43" fontId="0" fillId="0" borderId="31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0" fontId="0" fillId="0" borderId="22" xfId="0" applyFont="1" applyBorder="1" applyAlignment="1">
      <alignment/>
    </xf>
    <xf numFmtId="43" fontId="0" fillId="5" borderId="24" xfId="18" applyFont="1" applyFill="1" applyBorder="1" applyAlignment="1">
      <alignment/>
    </xf>
    <xf numFmtId="10" fontId="0" fillId="0" borderId="54" xfId="18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10" fontId="0" fillId="0" borderId="0" xfId="17" applyNumberFormat="1" applyAlignment="1">
      <alignment/>
    </xf>
    <xf numFmtId="43" fontId="0" fillId="0" borderId="18" xfId="18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3" fontId="5" fillId="0" borderId="14" xfId="18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43" fontId="19" fillId="0" borderId="36" xfId="18" applyFont="1" applyFill="1" applyBorder="1" applyAlignment="1">
      <alignment/>
    </xf>
    <xf numFmtId="43" fontId="19" fillId="0" borderId="25" xfId="18" applyFont="1" applyFill="1" applyBorder="1" applyAlignment="1">
      <alignment/>
    </xf>
    <xf numFmtId="43" fontId="19" fillId="0" borderId="25" xfId="18" applyFont="1" applyBorder="1" applyAlignment="1">
      <alignment/>
    </xf>
    <xf numFmtId="43" fontId="19" fillId="0" borderId="43" xfId="18" applyFont="1" applyBorder="1" applyAlignment="1">
      <alignment/>
    </xf>
    <xf numFmtId="43" fontId="15" fillId="0" borderId="54" xfId="18" applyFont="1" applyFill="1" applyBorder="1" applyAlignment="1">
      <alignment/>
    </xf>
    <xf numFmtId="43" fontId="15" fillId="0" borderId="25" xfId="18" applyFont="1" applyFill="1" applyBorder="1" applyAlignment="1">
      <alignment/>
    </xf>
    <xf numFmtId="43" fontId="18" fillId="0" borderId="54" xfId="18" applyFont="1" applyFill="1" applyBorder="1" applyAlignment="1">
      <alignment/>
    </xf>
    <xf numFmtId="43" fontId="18" fillId="0" borderId="25" xfId="18" applyFont="1" applyFill="1" applyBorder="1" applyAlignment="1">
      <alignment/>
    </xf>
    <xf numFmtId="43" fontId="18" fillId="0" borderId="55" xfId="18" applyFont="1" applyFill="1" applyBorder="1" applyAlignment="1">
      <alignment/>
    </xf>
    <xf numFmtId="43" fontId="18" fillId="0" borderId="25" xfId="18" applyFont="1" applyBorder="1" applyAlignment="1">
      <alignment/>
    </xf>
    <xf numFmtId="43" fontId="18" fillId="0" borderId="13" xfId="18" applyFont="1" applyBorder="1" applyAlignment="1">
      <alignment/>
    </xf>
    <xf numFmtId="17" fontId="7" fillId="2" borderId="3" xfId="0" applyNumberFormat="1" applyFont="1" applyFill="1" applyBorder="1" applyAlignment="1">
      <alignment horizontal="left"/>
    </xf>
    <xf numFmtId="17" fontId="7" fillId="2" borderId="2" xfId="0" applyNumberFormat="1" applyFont="1" applyFill="1" applyBorder="1" applyAlignment="1">
      <alignment horizontal="left"/>
    </xf>
    <xf numFmtId="17" fontId="7" fillId="2" borderId="52" xfId="0" applyNumberFormat="1" applyFont="1" applyFill="1" applyBorder="1" applyAlignment="1">
      <alignment horizontal="left"/>
    </xf>
    <xf numFmtId="43" fontId="7" fillId="2" borderId="3" xfId="18" applyFont="1" applyFill="1" applyBorder="1" applyAlignment="1">
      <alignment horizontal="center"/>
    </xf>
    <xf numFmtId="43" fontId="7" fillId="2" borderId="4" xfId="18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left"/>
    </xf>
    <xf numFmtId="0" fontId="1" fillId="2" borderId="51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0" fontId="9" fillId="0" borderId="3" xfId="18" applyNumberFormat="1" applyFont="1" applyBorder="1" applyAlignment="1">
      <alignment horizontal="center"/>
    </xf>
    <xf numFmtId="180" fontId="9" fillId="0" borderId="2" xfId="18" applyNumberFormat="1" applyFont="1" applyBorder="1" applyAlignment="1">
      <alignment horizontal="center"/>
    </xf>
    <xf numFmtId="180" fontId="9" fillId="0" borderId="4" xfId="18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3" fontId="7" fillId="6" borderId="13" xfId="18" applyNumberFormat="1" applyFont="1" applyFill="1" applyBorder="1" applyAlignment="1">
      <alignment/>
    </xf>
    <xf numFmtId="43" fontId="7" fillId="6" borderId="25" xfId="18" applyNumberFormat="1" applyFont="1" applyFill="1" applyBorder="1" applyAlignment="1">
      <alignment/>
    </xf>
    <xf numFmtId="43" fontId="7" fillId="6" borderId="14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05300" y="0"/>
          <a:ext cx="400050" cy="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19775" y="0"/>
          <a:ext cx="561975" cy="0"/>
        </a:xfrm>
        <a:prstGeom prst="curvedLeftArrow">
          <a:avLst>
            <a:gd name="adj1" fmla="val 15180"/>
            <a:gd name="adj2" fmla="val -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9775" y="0"/>
          <a:ext cx="533400" cy="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666750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7665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4</xdr:col>
      <xdr:colOff>657225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671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37</xdr:row>
      <xdr:rowOff>19050</xdr:rowOff>
    </xdr:from>
    <xdr:to>
      <xdr:col>1</xdr:col>
      <xdr:colOff>485775</xdr:colOff>
      <xdr:row>37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152525" y="605790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38</xdr:row>
      <xdr:rowOff>19050</xdr:rowOff>
    </xdr:from>
    <xdr:to>
      <xdr:col>1</xdr:col>
      <xdr:colOff>485775</xdr:colOff>
      <xdr:row>38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152525" y="622935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37</xdr:row>
      <xdr:rowOff>19050</xdr:rowOff>
    </xdr:from>
    <xdr:to>
      <xdr:col>4</xdr:col>
      <xdr:colOff>485775</xdr:colOff>
      <xdr:row>37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495675" y="605790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38</xdr:row>
      <xdr:rowOff>19050</xdr:rowOff>
    </xdr:from>
    <xdr:to>
      <xdr:col>4</xdr:col>
      <xdr:colOff>485775</xdr:colOff>
      <xdr:row>38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495675" y="622935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35</xdr:row>
      <xdr:rowOff>19050</xdr:rowOff>
    </xdr:from>
    <xdr:to>
      <xdr:col>4</xdr:col>
      <xdr:colOff>485775</xdr:colOff>
      <xdr:row>35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495675" y="573405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36</xdr:row>
      <xdr:rowOff>19050</xdr:rowOff>
    </xdr:from>
    <xdr:to>
      <xdr:col>4</xdr:col>
      <xdr:colOff>485775</xdr:colOff>
      <xdr:row>36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3495675" y="58959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36</xdr:row>
      <xdr:rowOff>19050</xdr:rowOff>
    </xdr:from>
    <xdr:to>
      <xdr:col>1</xdr:col>
      <xdr:colOff>485775</xdr:colOff>
      <xdr:row>36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152525" y="58959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36</xdr:row>
      <xdr:rowOff>19050</xdr:rowOff>
    </xdr:from>
    <xdr:to>
      <xdr:col>2</xdr:col>
      <xdr:colOff>485775</xdr:colOff>
      <xdr:row>36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1952625" y="58959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36</xdr:row>
      <xdr:rowOff>19050</xdr:rowOff>
    </xdr:from>
    <xdr:to>
      <xdr:col>3</xdr:col>
      <xdr:colOff>485775</xdr:colOff>
      <xdr:row>36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2752725" y="58959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19050</xdr:rowOff>
    </xdr:from>
    <xdr:to>
      <xdr:col>2</xdr:col>
      <xdr:colOff>485775</xdr:colOff>
      <xdr:row>34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1952625" y="557212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29</xdr:row>
      <xdr:rowOff>85725</xdr:rowOff>
    </xdr:from>
    <xdr:to>
      <xdr:col>1</xdr:col>
      <xdr:colOff>47625</xdr:colOff>
      <xdr:row>33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914400" y="4829175"/>
          <a:ext cx="190500" cy="695325"/>
        </a:xfrm>
        <a:prstGeom prst="rightBrace">
          <a:avLst>
            <a:gd name="adj" fmla="val 685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666750</xdr:colOff>
      <xdr:row>0</xdr:row>
      <xdr:rowOff>0</xdr:rowOff>
    </xdr:from>
    <xdr:ext cx="1390650" cy="542925"/>
    <xdr:sp>
      <xdr:nvSpPr>
        <xdr:cNvPr id="19" name="AutoShape 20"/>
        <xdr:cNvSpPr>
          <a:spLocks/>
        </xdr:cNvSpPr>
      </xdr:nvSpPr>
      <xdr:spPr>
        <a:xfrm>
          <a:off x="4067175" y="0"/>
          <a:ext cx="1390650" cy="542925"/>
        </a:xfrm>
        <a:prstGeom prst="wedgeRoundRectCallout">
          <a:avLst>
            <a:gd name="adj1" fmla="val -162328"/>
            <a:gd name="adj2" fmla="val 214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Tabela 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TRT"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WWW.TST.GOV.BR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1390650" cy="542925"/>
    <xdr:sp>
      <xdr:nvSpPr>
        <xdr:cNvPr id="20" name="AutoShape 21"/>
        <xdr:cNvSpPr>
          <a:spLocks/>
        </xdr:cNvSpPr>
      </xdr:nvSpPr>
      <xdr:spPr>
        <a:xfrm>
          <a:off x="2143125" y="0"/>
          <a:ext cx="1390650" cy="542925"/>
        </a:xfrm>
        <a:prstGeom prst="wedgeRoundRectCallout">
          <a:avLst>
            <a:gd name="adj1" fmla="val -85615"/>
            <a:gd name="adj2" fmla="val 2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S"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" Subtotal 2 "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da Planilha 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33</xdr:row>
      <xdr:rowOff>133350</xdr:rowOff>
    </xdr:from>
    <xdr:ext cx="1028700" cy="733425"/>
    <xdr:sp>
      <xdr:nvSpPr>
        <xdr:cNvPr id="1" name="AutoShape 1"/>
        <xdr:cNvSpPr>
          <a:spLocks/>
        </xdr:cNvSpPr>
      </xdr:nvSpPr>
      <xdr:spPr>
        <a:xfrm>
          <a:off x="1123950" y="5114925"/>
          <a:ext cx="1028700" cy="733425"/>
        </a:xfrm>
        <a:prstGeom prst="wedgeRectCallout">
          <a:avLst>
            <a:gd name="adj1" fmla="val -62962"/>
            <a:gd name="adj2" fmla="val 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obs:    * O seguro poderá variar de 1% á 3%, deacordo com o grau de risco da Empresa              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</a:p>
      </xdr:txBody>
    </xdr:sp>
    <xdr:clientData/>
  </xdr:oneCellAnchor>
  <xdr:oneCellAnchor>
    <xdr:from>
      <xdr:col>3</xdr:col>
      <xdr:colOff>619125</xdr:colOff>
      <xdr:row>0</xdr:row>
      <xdr:rowOff>0</xdr:rowOff>
    </xdr:from>
    <xdr:ext cx="2133600" cy="542925"/>
    <xdr:sp>
      <xdr:nvSpPr>
        <xdr:cNvPr id="2" name="AutoShape 2"/>
        <xdr:cNvSpPr>
          <a:spLocks/>
        </xdr:cNvSpPr>
      </xdr:nvSpPr>
      <xdr:spPr>
        <a:xfrm>
          <a:off x="3238500" y="0"/>
          <a:ext cx="2133600" cy="542925"/>
        </a:xfrm>
        <a:prstGeom prst="wedgeRoundRectCallout">
          <a:avLst>
            <a:gd name="adj1" fmla="val -81694"/>
            <a:gd name="adj2" fmla="val 174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Soma da Coluna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"O"
 "Subtotal 1 "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da Planilha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9</xdr:col>
      <xdr:colOff>76200</xdr:colOff>
      <xdr:row>1</xdr:row>
      <xdr:rowOff>57150</xdr:rowOff>
    </xdr:from>
    <xdr:ext cx="1143000" cy="600075"/>
    <xdr:sp>
      <xdr:nvSpPr>
        <xdr:cNvPr id="3" name="AutoShape 3"/>
        <xdr:cNvSpPr>
          <a:spLocks/>
        </xdr:cNvSpPr>
      </xdr:nvSpPr>
      <xdr:spPr>
        <a:xfrm>
          <a:off x="7820025" y="219075"/>
          <a:ext cx="1143000" cy="600075"/>
        </a:xfrm>
        <a:prstGeom prst="wedgeRoundRectCallout">
          <a:avLst>
            <a:gd name="adj1" fmla="val -281666"/>
            <a:gd name="adj2" fmla="val 146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O"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" Subtotal 1 "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da Planilha 
</a:t>
          </a:r>
        </a:p>
      </xdr:txBody>
    </xdr:sp>
    <xdr:clientData/>
  </xdr:oneCellAnchor>
  <xdr:twoCellAnchor>
    <xdr:from>
      <xdr:col>5</xdr:col>
      <xdr:colOff>304800</xdr:colOff>
      <xdr:row>32</xdr:row>
      <xdr:rowOff>9525</xdr:rowOff>
    </xdr:from>
    <xdr:to>
      <xdr:col>5</xdr:col>
      <xdr:colOff>695325</xdr:colOff>
      <xdr:row>32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4743450" y="48291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47625</xdr:rowOff>
    </xdr:from>
    <xdr:to>
      <xdr:col>5</xdr:col>
      <xdr:colOff>666750</xdr:colOff>
      <xdr:row>13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4276725" y="1066800"/>
          <a:ext cx="400050" cy="13716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19050</xdr:rowOff>
    </xdr:from>
    <xdr:to>
      <xdr:col>6</xdr:col>
      <xdr:colOff>400050</xdr:colOff>
      <xdr:row>25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019675" y="2962275"/>
          <a:ext cx="361950" cy="1285875"/>
        </a:xfrm>
        <a:prstGeom prst="curvedLeftArrow">
          <a:avLst>
            <a:gd name="adj1" fmla="val 24814"/>
            <a:gd name="adj2" fmla="val 45097"/>
            <a:gd name="adj3" fmla="val -31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133350</xdr:colOff>
      <xdr:row>37</xdr:row>
      <xdr:rowOff>0</xdr:rowOff>
    </xdr:from>
    <xdr:to>
      <xdr:col>4</xdr:col>
      <xdr:colOff>523875</xdr:colOff>
      <xdr:row>37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524250" y="6200775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37</xdr:row>
      <xdr:rowOff>0</xdr:rowOff>
    </xdr:from>
    <xdr:to>
      <xdr:col>4</xdr:col>
      <xdr:colOff>523875</xdr:colOff>
      <xdr:row>37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524250" y="6200775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76200</xdr:rowOff>
    </xdr:from>
    <xdr:ext cx="1295400" cy="409575"/>
    <xdr:sp>
      <xdr:nvSpPr>
        <xdr:cNvPr id="6" name="AutoShape 7"/>
        <xdr:cNvSpPr>
          <a:spLocks/>
        </xdr:cNvSpPr>
      </xdr:nvSpPr>
      <xdr:spPr>
        <a:xfrm>
          <a:off x="4238625" y="76200"/>
          <a:ext cx="1295400" cy="409575"/>
        </a:xfrm>
        <a:prstGeom prst="wedgeRoundRectCallout">
          <a:avLst>
            <a:gd name="adj1" fmla="val -72060"/>
            <a:gd name="adj2" fmla="val 277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"d"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5</xdr:col>
      <xdr:colOff>285750</xdr:colOff>
      <xdr:row>2</xdr:row>
      <xdr:rowOff>180975</xdr:rowOff>
    </xdr:from>
    <xdr:ext cx="1228725" cy="409575"/>
    <xdr:sp>
      <xdr:nvSpPr>
        <xdr:cNvPr id="7" name="AutoShape 8"/>
        <xdr:cNvSpPr>
          <a:spLocks/>
        </xdr:cNvSpPr>
      </xdr:nvSpPr>
      <xdr:spPr>
        <a:xfrm>
          <a:off x="4295775" y="638175"/>
          <a:ext cx="1228725" cy="409575"/>
        </a:xfrm>
        <a:prstGeom prst="wedgeRoundRectCallout">
          <a:avLst>
            <a:gd name="adj1" fmla="val -78680"/>
            <a:gd name="adj2" fmla="val 182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"E"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2</xdr:col>
      <xdr:colOff>819150</xdr:colOff>
      <xdr:row>0</xdr:row>
      <xdr:rowOff>133350</xdr:rowOff>
    </xdr:from>
    <xdr:ext cx="1295400" cy="762000"/>
    <xdr:sp>
      <xdr:nvSpPr>
        <xdr:cNvPr id="8" name="AutoShape 9"/>
        <xdr:cNvSpPr>
          <a:spLocks/>
        </xdr:cNvSpPr>
      </xdr:nvSpPr>
      <xdr:spPr>
        <a:xfrm>
          <a:off x="2038350" y="133350"/>
          <a:ext cx="1295400" cy="762000"/>
        </a:xfrm>
        <a:prstGeom prst="wedgeRoundRectCallout">
          <a:avLst>
            <a:gd name="adj1" fmla="val 75736"/>
            <a:gd name="adj2" fmla="val 167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Média do Ad. Noturno dos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últimos meses Coluna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"F"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  <xdr:oneCellAnchor>
    <xdr:from>
      <xdr:col>5</xdr:col>
      <xdr:colOff>161925</xdr:colOff>
      <xdr:row>8</xdr:row>
      <xdr:rowOff>9525</xdr:rowOff>
    </xdr:from>
    <xdr:ext cx="1295400" cy="762000"/>
    <xdr:sp>
      <xdr:nvSpPr>
        <xdr:cNvPr id="9" name="AutoShape 10"/>
        <xdr:cNvSpPr>
          <a:spLocks/>
        </xdr:cNvSpPr>
      </xdr:nvSpPr>
      <xdr:spPr>
        <a:xfrm>
          <a:off x="4171950" y="1400175"/>
          <a:ext cx="1295400" cy="762000"/>
        </a:xfrm>
        <a:prstGeom prst="wedgeRoundRectCallout">
          <a:avLst>
            <a:gd name="adj1" fmla="val -66175"/>
            <a:gd name="adj2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Média das horas extras dos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últimos meses Coluna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 L"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
da Planilha Inicial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0</xdr:row>
      <xdr:rowOff>0</xdr:rowOff>
    </xdr:from>
    <xdr:ext cx="1390650" cy="542925"/>
    <xdr:sp>
      <xdr:nvSpPr>
        <xdr:cNvPr id="1" name="AutoShape 33"/>
        <xdr:cNvSpPr>
          <a:spLocks/>
        </xdr:cNvSpPr>
      </xdr:nvSpPr>
      <xdr:spPr>
        <a:xfrm>
          <a:off x="3743325" y="0"/>
          <a:ext cx="1390650" cy="542925"/>
        </a:xfrm>
        <a:prstGeom prst="wedgeRoundRectCallout">
          <a:avLst>
            <a:gd name="adj1" fmla="val -79453"/>
            <a:gd name="adj2" fmla="val 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Tabela 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TRT"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WWW.TST.GOV.BR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5</xdr:col>
      <xdr:colOff>228600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2" name="AutoShape 1"/>
        <xdr:cNvSpPr>
          <a:spLocks/>
        </xdr:cNvSpPr>
      </xdr:nvSpPr>
      <xdr:spPr>
        <a:xfrm>
          <a:off x="4276725" y="0"/>
          <a:ext cx="400050" cy="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AutoShape 2"/>
        <xdr:cNvSpPr>
          <a:spLocks/>
        </xdr:cNvSpPr>
      </xdr:nvSpPr>
      <xdr:spPr>
        <a:xfrm>
          <a:off x="5267325" y="0"/>
          <a:ext cx="561975" cy="0"/>
        </a:xfrm>
        <a:prstGeom prst="curvedLeftArrow">
          <a:avLst>
            <a:gd name="adj1" fmla="val 15180"/>
            <a:gd name="adj2" fmla="val -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4" name="AutoShape 3"/>
        <xdr:cNvSpPr>
          <a:spLocks/>
        </xdr:cNvSpPr>
      </xdr:nvSpPr>
      <xdr:spPr>
        <a:xfrm>
          <a:off x="5267325" y="0"/>
          <a:ext cx="533400" cy="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3049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13049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666750</xdr:colOff>
      <xdr:row>0</xdr:row>
      <xdr:rowOff>0</xdr:rowOff>
    </xdr:to>
    <xdr:sp>
      <xdr:nvSpPr>
        <xdr:cNvPr id="7" name="AutoShape 6"/>
        <xdr:cNvSpPr>
          <a:spLocks/>
        </xdr:cNvSpPr>
      </xdr:nvSpPr>
      <xdr:spPr>
        <a:xfrm>
          <a:off x="363855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4</xdr:col>
      <xdr:colOff>657225</xdr:colOff>
      <xdr:row>0</xdr:row>
      <xdr:rowOff>0</xdr:rowOff>
    </xdr:to>
    <xdr:sp>
      <xdr:nvSpPr>
        <xdr:cNvPr id="8" name="AutoShape 7"/>
        <xdr:cNvSpPr>
          <a:spLocks/>
        </xdr:cNvSpPr>
      </xdr:nvSpPr>
      <xdr:spPr>
        <a:xfrm>
          <a:off x="36290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9" name="AutoShape 8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0" name="AutoShape 9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11" name="AutoShape 10"/>
        <xdr:cNvSpPr>
          <a:spLocks/>
        </xdr:cNvSpPr>
      </xdr:nvSpPr>
      <xdr:spPr>
        <a:xfrm>
          <a:off x="345757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12" name="AutoShape 11"/>
        <xdr:cNvSpPr>
          <a:spLocks/>
        </xdr:cNvSpPr>
      </xdr:nvSpPr>
      <xdr:spPr>
        <a:xfrm>
          <a:off x="345757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13" name="AutoShape 12"/>
        <xdr:cNvSpPr>
          <a:spLocks/>
        </xdr:cNvSpPr>
      </xdr:nvSpPr>
      <xdr:spPr>
        <a:xfrm>
          <a:off x="345757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345757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" name="AutoShape 14"/>
        <xdr:cNvSpPr>
          <a:spLocks/>
        </xdr:cNvSpPr>
      </xdr:nvSpPr>
      <xdr:spPr>
        <a:xfrm>
          <a:off x="1228725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6" name="AutoShape 15"/>
        <xdr:cNvSpPr>
          <a:spLocks/>
        </xdr:cNvSpPr>
      </xdr:nvSpPr>
      <xdr:spPr>
        <a:xfrm>
          <a:off x="198120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17" name="AutoShape 16"/>
        <xdr:cNvSpPr>
          <a:spLocks/>
        </xdr:cNvSpPr>
      </xdr:nvSpPr>
      <xdr:spPr>
        <a:xfrm>
          <a:off x="278130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8" name="AutoShape 17"/>
        <xdr:cNvSpPr>
          <a:spLocks/>
        </xdr:cNvSpPr>
      </xdr:nvSpPr>
      <xdr:spPr>
        <a:xfrm>
          <a:off x="1981200" y="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19" name="AutoShape 18"/>
        <xdr:cNvSpPr>
          <a:spLocks/>
        </xdr:cNvSpPr>
      </xdr:nvSpPr>
      <xdr:spPr>
        <a:xfrm>
          <a:off x="4276725" y="0"/>
          <a:ext cx="400050" cy="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0" name="AutoShape 19"/>
        <xdr:cNvSpPr>
          <a:spLocks/>
        </xdr:cNvSpPr>
      </xdr:nvSpPr>
      <xdr:spPr>
        <a:xfrm>
          <a:off x="5267325" y="0"/>
          <a:ext cx="561975" cy="0"/>
        </a:xfrm>
        <a:prstGeom prst="curvedLeftArrow">
          <a:avLst>
            <a:gd name="adj1" fmla="val 15180"/>
            <a:gd name="adj2" fmla="val -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21" name="AutoShape 20"/>
        <xdr:cNvSpPr>
          <a:spLocks/>
        </xdr:cNvSpPr>
      </xdr:nvSpPr>
      <xdr:spPr>
        <a:xfrm>
          <a:off x="5267325" y="0"/>
          <a:ext cx="533400" cy="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85725</xdr:colOff>
      <xdr:row>33</xdr:row>
      <xdr:rowOff>0</xdr:rowOff>
    </xdr:from>
    <xdr:to>
      <xdr:col>4</xdr:col>
      <xdr:colOff>476250</xdr:colOff>
      <xdr:row>33</xdr:row>
      <xdr:rowOff>0</xdr:rowOff>
    </xdr:to>
    <xdr:sp>
      <xdr:nvSpPr>
        <xdr:cNvPr id="22" name="AutoShape 21"/>
        <xdr:cNvSpPr>
          <a:spLocks/>
        </xdr:cNvSpPr>
      </xdr:nvSpPr>
      <xdr:spPr>
        <a:xfrm>
          <a:off x="3448050" y="541020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33</xdr:row>
      <xdr:rowOff>0</xdr:rowOff>
    </xdr:from>
    <xdr:to>
      <xdr:col>1</xdr:col>
      <xdr:colOff>485775</xdr:colOff>
      <xdr:row>33</xdr:row>
      <xdr:rowOff>0</xdr:rowOff>
    </xdr:to>
    <xdr:sp>
      <xdr:nvSpPr>
        <xdr:cNvPr id="23" name="AutoShape 22"/>
        <xdr:cNvSpPr>
          <a:spLocks/>
        </xdr:cNvSpPr>
      </xdr:nvSpPr>
      <xdr:spPr>
        <a:xfrm>
          <a:off x="1228725" y="541020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34</xdr:row>
      <xdr:rowOff>9525</xdr:rowOff>
    </xdr:from>
    <xdr:to>
      <xdr:col>4</xdr:col>
      <xdr:colOff>600075</xdr:colOff>
      <xdr:row>34</xdr:row>
      <xdr:rowOff>142875</xdr:rowOff>
    </xdr:to>
    <xdr:sp>
      <xdr:nvSpPr>
        <xdr:cNvPr id="24" name="AutoShape 23"/>
        <xdr:cNvSpPr>
          <a:spLocks/>
        </xdr:cNvSpPr>
      </xdr:nvSpPr>
      <xdr:spPr>
        <a:xfrm>
          <a:off x="3571875" y="5591175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34</xdr:row>
      <xdr:rowOff>19050</xdr:rowOff>
    </xdr:from>
    <xdr:to>
      <xdr:col>1</xdr:col>
      <xdr:colOff>485775</xdr:colOff>
      <xdr:row>34</xdr:row>
      <xdr:rowOff>152400</xdr:rowOff>
    </xdr:to>
    <xdr:sp>
      <xdr:nvSpPr>
        <xdr:cNvPr id="25" name="AutoShape 24"/>
        <xdr:cNvSpPr>
          <a:spLocks/>
        </xdr:cNvSpPr>
      </xdr:nvSpPr>
      <xdr:spPr>
        <a:xfrm>
          <a:off x="1228725" y="560070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33</xdr:row>
      <xdr:rowOff>19050</xdr:rowOff>
    </xdr:from>
    <xdr:to>
      <xdr:col>4</xdr:col>
      <xdr:colOff>600075</xdr:colOff>
      <xdr:row>33</xdr:row>
      <xdr:rowOff>152400</xdr:rowOff>
    </xdr:to>
    <xdr:sp>
      <xdr:nvSpPr>
        <xdr:cNvPr id="26" name="AutoShape 25"/>
        <xdr:cNvSpPr>
          <a:spLocks/>
        </xdr:cNvSpPr>
      </xdr:nvSpPr>
      <xdr:spPr>
        <a:xfrm>
          <a:off x="3571875" y="5429250"/>
          <a:ext cx="3905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4</xdr:col>
      <xdr:colOff>609600</xdr:colOff>
      <xdr:row>33</xdr:row>
      <xdr:rowOff>0</xdr:rowOff>
    </xdr:to>
    <xdr:sp>
      <xdr:nvSpPr>
        <xdr:cNvPr id="27" name="AutoShape 26"/>
        <xdr:cNvSpPr>
          <a:spLocks/>
        </xdr:cNvSpPr>
      </xdr:nvSpPr>
      <xdr:spPr>
        <a:xfrm>
          <a:off x="3581400" y="5410200"/>
          <a:ext cx="3905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29</xdr:row>
      <xdr:rowOff>38100</xdr:rowOff>
    </xdr:from>
    <xdr:to>
      <xdr:col>1</xdr:col>
      <xdr:colOff>0</xdr:colOff>
      <xdr:row>30</xdr:row>
      <xdr:rowOff>133350</xdr:rowOff>
    </xdr:to>
    <xdr:sp>
      <xdr:nvSpPr>
        <xdr:cNvPr id="28" name="AutoShape 27"/>
        <xdr:cNvSpPr>
          <a:spLocks/>
        </xdr:cNvSpPr>
      </xdr:nvSpPr>
      <xdr:spPr>
        <a:xfrm>
          <a:off x="1009650" y="4791075"/>
          <a:ext cx="123825" cy="257175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419100</xdr:colOff>
      <xdr:row>0</xdr:row>
      <xdr:rowOff>0</xdr:rowOff>
    </xdr:from>
    <xdr:ext cx="1390650" cy="542925"/>
    <xdr:sp>
      <xdr:nvSpPr>
        <xdr:cNvPr id="29" name="AutoShape 32"/>
        <xdr:cNvSpPr>
          <a:spLocks/>
        </xdr:cNvSpPr>
      </xdr:nvSpPr>
      <xdr:spPr>
        <a:xfrm>
          <a:off x="2305050" y="0"/>
          <a:ext cx="1390650" cy="542925"/>
        </a:xfrm>
        <a:prstGeom prst="wedgeRoundRectCallout">
          <a:avLst>
            <a:gd name="adj1" fmla="val -131504"/>
            <a:gd name="adj2" fmla="val 200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"T"+"U"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" FGTS "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da Planilha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omplCRC%20CTLS-nv%20formt\Planilha%20Exerc&#237;cio%201nova%20format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Atualização c-Inc. IR"/>
      <sheetName val="Àpurações"/>
      <sheetName val="Atualização s-Inc.  IR"/>
      <sheetName val="INSS-correto"/>
    </sheetNames>
    <sheetDataSet>
      <sheetData sheetId="0">
        <row r="1">
          <cell r="B1" t="str">
            <v>PROCESSO:33/96 DA  33a.VT/RJ</v>
          </cell>
        </row>
        <row r="2">
          <cell r="B2" t="str">
            <v>RTE: JOÃO DA SILVA</v>
          </cell>
        </row>
        <row r="3">
          <cell r="B3" t="str">
            <v>RDA: DELTA LTDA.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C1">
      <selection activeCell="A1" sqref="A1:P28"/>
    </sheetView>
  </sheetViews>
  <sheetFormatPr defaultColWidth="9.140625" defaultRowHeight="12.75"/>
  <sheetData>
    <row r="1" ht="12.75">
      <c r="A1" t="s">
        <v>129</v>
      </c>
    </row>
    <row r="2" ht="12.75">
      <c r="A2" t="s">
        <v>130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7" spans="1:12" ht="12.75">
      <c r="A7" t="s">
        <v>134</v>
      </c>
      <c r="B7" t="s">
        <v>135</v>
      </c>
      <c r="C7" t="s">
        <v>136</v>
      </c>
      <c r="D7" t="s">
        <v>137</v>
      </c>
      <c r="E7" t="s">
        <v>138</v>
      </c>
      <c r="F7" t="s">
        <v>139</v>
      </c>
      <c r="G7" t="s">
        <v>140</v>
      </c>
      <c r="H7" t="s">
        <v>141</v>
      </c>
      <c r="I7" t="s">
        <v>142</v>
      </c>
      <c r="J7" t="s">
        <v>143</v>
      </c>
      <c r="K7" t="s">
        <v>144</v>
      </c>
      <c r="L7" t="s">
        <v>145</v>
      </c>
    </row>
    <row r="8" spans="1:12" ht="12.75">
      <c r="A8" t="s">
        <v>146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152</v>
      </c>
      <c r="H8" t="s">
        <v>153</v>
      </c>
      <c r="I8" t="s">
        <v>154</v>
      </c>
      <c r="J8" t="s">
        <v>155</v>
      </c>
      <c r="K8" t="s">
        <v>156</v>
      </c>
      <c r="L8" t="s">
        <v>157</v>
      </c>
    </row>
    <row r="9" spans="1:12" ht="12.75">
      <c r="A9" t="s">
        <v>158</v>
      </c>
      <c r="B9" t="s">
        <v>159</v>
      </c>
      <c r="C9" t="s">
        <v>160</v>
      </c>
      <c r="D9" t="s">
        <v>161</v>
      </c>
      <c r="E9" t="s">
        <v>162</v>
      </c>
      <c r="F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168</v>
      </c>
      <c r="L9" t="s">
        <v>169</v>
      </c>
    </row>
    <row r="10" spans="1:12" ht="12.75">
      <c r="A10" t="s">
        <v>170</v>
      </c>
      <c r="B10" t="s">
        <v>171</v>
      </c>
      <c r="C10" t="s">
        <v>172</v>
      </c>
      <c r="D10" t="s">
        <v>173</v>
      </c>
      <c r="E10" t="s">
        <v>174</v>
      </c>
      <c r="F10" t="s">
        <v>175</v>
      </c>
      <c r="G10" t="s">
        <v>176</v>
      </c>
      <c r="H10" t="s">
        <v>177</v>
      </c>
      <c r="I10" t="s">
        <v>178</v>
      </c>
      <c r="J10" t="s">
        <v>179</v>
      </c>
      <c r="K10" t="s">
        <v>180</v>
      </c>
      <c r="L10" t="s">
        <v>181</v>
      </c>
    </row>
    <row r="11" spans="1:12" ht="12.75">
      <c r="A11" t="s">
        <v>182</v>
      </c>
      <c r="B11" t="s">
        <v>183</v>
      </c>
      <c r="C11" t="s">
        <v>184</v>
      </c>
      <c r="D11" t="s">
        <v>185</v>
      </c>
      <c r="E11" t="s">
        <v>186</v>
      </c>
      <c r="F11" t="s">
        <v>187</v>
      </c>
      <c r="G11" t="s">
        <v>188</v>
      </c>
      <c r="H11" t="s">
        <v>189</v>
      </c>
      <c r="I11" t="s">
        <v>190</v>
      </c>
      <c r="J11" t="s">
        <v>191</v>
      </c>
      <c r="K11" t="s">
        <v>192</v>
      </c>
      <c r="L11" t="s">
        <v>193</v>
      </c>
    </row>
    <row r="12" spans="1:12" ht="12.75">
      <c r="A12" t="s">
        <v>194</v>
      </c>
      <c r="B12" t="s">
        <v>195</v>
      </c>
      <c r="C12" t="s">
        <v>196</v>
      </c>
      <c r="D12" t="s">
        <v>197</v>
      </c>
      <c r="E12" t="s">
        <v>198</v>
      </c>
      <c r="F12" t="s">
        <v>199</v>
      </c>
      <c r="G12" t="s">
        <v>200</v>
      </c>
      <c r="H12" t="s">
        <v>201</v>
      </c>
      <c r="I12" t="s">
        <v>202</v>
      </c>
      <c r="J12" t="s">
        <v>203</v>
      </c>
      <c r="K12" t="s">
        <v>204</v>
      </c>
      <c r="L12" t="s">
        <v>205</v>
      </c>
    </row>
    <row r="13" spans="1:12" ht="12.75">
      <c r="A13" t="s">
        <v>206</v>
      </c>
      <c r="B13" t="s">
        <v>207</v>
      </c>
      <c r="C13" t="s">
        <v>208</v>
      </c>
      <c r="D13" t="s">
        <v>209</v>
      </c>
      <c r="E13" t="s">
        <v>210</v>
      </c>
      <c r="F13" t="s">
        <v>211</v>
      </c>
      <c r="G13" t="s">
        <v>212</v>
      </c>
      <c r="H13" t="s">
        <v>213</v>
      </c>
      <c r="I13" t="s">
        <v>214</v>
      </c>
      <c r="J13" t="s">
        <v>215</v>
      </c>
      <c r="K13" t="s">
        <v>216</v>
      </c>
      <c r="L13" t="s">
        <v>217</v>
      </c>
    </row>
    <row r="14" spans="1:12" ht="12.75">
      <c r="A14" t="s">
        <v>218</v>
      </c>
      <c r="B14" t="s">
        <v>219</v>
      </c>
      <c r="C14" t="s">
        <v>220</v>
      </c>
      <c r="D14" t="s">
        <v>221</v>
      </c>
      <c r="E14" t="s">
        <v>222</v>
      </c>
      <c r="F14" t="s">
        <v>223</v>
      </c>
      <c r="G14" t="s">
        <v>224</v>
      </c>
      <c r="H14" t="s">
        <v>225</v>
      </c>
      <c r="I14" t="s">
        <v>226</v>
      </c>
      <c r="J14" t="s">
        <v>227</v>
      </c>
      <c r="K14" t="s">
        <v>228</v>
      </c>
      <c r="L14" t="s">
        <v>229</v>
      </c>
    </row>
    <row r="15" spans="1:12" ht="12.75">
      <c r="A15" t="s">
        <v>230</v>
      </c>
      <c r="B15" t="s">
        <v>231</v>
      </c>
      <c r="C15" t="s">
        <v>232</v>
      </c>
      <c r="D15" t="s">
        <v>233</v>
      </c>
      <c r="E15" t="s">
        <v>234</v>
      </c>
      <c r="F15" t="s">
        <v>235</v>
      </c>
      <c r="G15" t="s">
        <v>236</v>
      </c>
      <c r="H15" t="s">
        <v>237</v>
      </c>
      <c r="I15" t="s">
        <v>238</v>
      </c>
      <c r="J15" t="s">
        <v>239</v>
      </c>
      <c r="K15" t="s">
        <v>240</v>
      </c>
      <c r="L15" t="s">
        <v>241</v>
      </c>
    </row>
    <row r="16" spans="1:12" ht="12.75">
      <c r="A16" t="s">
        <v>242</v>
      </c>
      <c r="B16" t="s">
        <v>243</v>
      </c>
      <c r="C16" t="s">
        <v>244</v>
      </c>
      <c r="D16" t="s">
        <v>245</v>
      </c>
      <c r="E16" t="s">
        <v>246</v>
      </c>
      <c r="F16" t="s">
        <v>247</v>
      </c>
      <c r="G16" t="s">
        <v>248</v>
      </c>
      <c r="H16" t="s">
        <v>249</v>
      </c>
      <c r="I16" t="s">
        <v>250</v>
      </c>
      <c r="J16" t="s">
        <v>251</v>
      </c>
      <c r="K16" t="s">
        <v>252</v>
      </c>
      <c r="L16" t="s">
        <v>253</v>
      </c>
    </row>
    <row r="17" spans="1:12" ht="12.75">
      <c r="A17" t="s">
        <v>254</v>
      </c>
      <c r="B17" t="s">
        <v>255</v>
      </c>
      <c r="C17" t="s">
        <v>256</v>
      </c>
      <c r="D17" t="s">
        <v>257</v>
      </c>
      <c r="E17" t="s">
        <v>258</v>
      </c>
      <c r="F17" t="s">
        <v>259</v>
      </c>
      <c r="G17" t="s">
        <v>260</v>
      </c>
      <c r="H17" t="s">
        <v>261</v>
      </c>
      <c r="I17" t="s">
        <v>262</v>
      </c>
      <c r="J17" t="s">
        <v>263</v>
      </c>
      <c r="K17" t="s">
        <v>264</v>
      </c>
      <c r="L17" t="s">
        <v>265</v>
      </c>
    </row>
    <row r="18" spans="1:12" ht="12.75">
      <c r="A18" t="s">
        <v>266</v>
      </c>
      <c r="B18" t="s">
        <v>267</v>
      </c>
      <c r="C18" t="s">
        <v>268</v>
      </c>
      <c r="D18" t="s">
        <v>269</v>
      </c>
      <c r="E18" t="s">
        <v>270</v>
      </c>
      <c r="F18" t="s">
        <v>271</v>
      </c>
      <c r="G18" t="s">
        <v>272</v>
      </c>
      <c r="H18" t="s">
        <v>273</v>
      </c>
      <c r="I18" t="s">
        <v>274</v>
      </c>
      <c r="J18" t="s">
        <v>275</v>
      </c>
      <c r="K18" t="s">
        <v>276</v>
      </c>
      <c r="L18" t="s">
        <v>265</v>
      </c>
    </row>
    <row r="19" spans="1:12" ht="12.75">
      <c r="A19" t="s">
        <v>277</v>
      </c>
      <c r="B19" t="s">
        <v>278</v>
      </c>
      <c r="C19" t="s">
        <v>279</v>
      </c>
      <c r="D19" t="s">
        <v>280</v>
      </c>
      <c r="E19" t="s">
        <v>281</v>
      </c>
      <c r="F19" t="s">
        <v>282</v>
      </c>
      <c r="G19" t="s">
        <v>283</v>
      </c>
      <c r="H19" t="s">
        <v>284</v>
      </c>
      <c r="I19" t="s">
        <v>285</v>
      </c>
      <c r="J19" t="s">
        <v>286</v>
      </c>
      <c r="K19" t="s">
        <v>287</v>
      </c>
      <c r="L19" t="s">
        <v>265</v>
      </c>
    </row>
    <row r="21" ht="12.75">
      <c r="A21" t="s">
        <v>288</v>
      </c>
    </row>
    <row r="22" ht="12.75">
      <c r="A22" t="s">
        <v>289</v>
      </c>
    </row>
    <row r="23" ht="12.75">
      <c r="A23" t="s">
        <v>290</v>
      </c>
    </row>
    <row r="24" ht="12.75">
      <c r="A24" t="s">
        <v>291</v>
      </c>
    </row>
    <row r="25" ht="12.75">
      <c r="A25" t="s">
        <v>292</v>
      </c>
    </row>
    <row r="26" ht="12.75">
      <c r="A26" t="s">
        <v>293</v>
      </c>
    </row>
    <row r="27" ht="12.75">
      <c r="A27" t="s">
        <v>294</v>
      </c>
    </row>
  </sheetData>
  <printOptions/>
  <pageMargins left="0.75" right="0.75" top="1" bottom="1" header="0.492125985" footer="0.49212598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7"/>
  <sheetViews>
    <sheetView workbookViewId="0" topLeftCell="A255">
      <selection activeCell="A2" sqref="A2"/>
    </sheetView>
  </sheetViews>
  <sheetFormatPr defaultColWidth="9.140625" defaultRowHeight="12.75"/>
  <cols>
    <col min="3" max="3" width="13.8515625" style="0" customWidth="1"/>
  </cols>
  <sheetData>
    <row r="1" spans="1:3" ht="12.75">
      <c r="A1" s="263" t="s">
        <v>23</v>
      </c>
      <c r="B1" s="263" t="s">
        <v>298</v>
      </c>
      <c r="C1" s="263" t="s">
        <v>83</v>
      </c>
    </row>
    <row r="2" spans="1:3" ht="12.75">
      <c r="A2" s="263" t="s">
        <v>134</v>
      </c>
      <c r="B2" s="263" t="s">
        <v>299</v>
      </c>
      <c r="C2" s="263" t="s">
        <v>300</v>
      </c>
    </row>
    <row r="3" spans="1:3" ht="12.75">
      <c r="A3" s="264">
        <v>27134</v>
      </c>
      <c r="B3" s="265" t="s">
        <v>19</v>
      </c>
      <c r="C3" s="266">
        <f>312/2</f>
        <v>156</v>
      </c>
    </row>
    <row r="4" spans="1:3" ht="12.75">
      <c r="A4" s="267">
        <v>27150</v>
      </c>
      <c r="B4" s="265" t="s">
        <v>19</v>
      </c>
      <c r="C4" s="266">
        <v>376</v>
      </c>
    </row>
    <row r="5" spans="1:3" ht="12.75">
      <c r="A5" s="267">
        <v>27181</v>
      </c>
      <c r="B5" s="265" t="s">
        <v>19</v>
      </c>
      <c r="C5" s="266">
        <v>376</v>
      </c>
    </row>
    <row r="6" spans="1:3" ht="12.75">
      <c r="A6" s="267">
        <v>27211</v>
      </c>
      <c r="B6" s="265" t="s">
        <v>19</v>
      </c>
      <c r="C6" s="266">
        <v>376</v>
      </c>
    </row>
    <row r="7" spans="1:3" ht="12.75">
      <c r="A7" s="267">
        <v>27242</v>
      </c>
      <c r="B7" s="265" t="s">
        <v>19</v>
      </c>
      <c r="C7" s="266">
        <v>376</v>
      </c>
    </row>
    <row r="8" spans="1:3" ht="12.75">
      <c r="A8" s="267">
        <v>27273</v>
      </c>
      <c r="B8" s="265" t="s">
        <v>19</v>
      </c>
      <c r="C8" s="266">
        <v>376</v>
      </c>
    </row>
    <row r="9" spans="1:3" ht="12.75">
      <c r="A9" s="267">
        <v>27303</v>
      </c>
      <c r="B9" s="265" t="s">
        <v>19</v>
      </c>
      <c r="C9" s="266">
        <v>376</v>
      </c>
    </row>
    <row r="10" spans="1:3" ht="12.75">
      <c r="A10" s="267">
        <v>27334</v>
      </c>
      <c r="B10" s="265" t="s">
        <v>19</v>
      </c>
      <c r="C10" s="266">
        <v>376</v>
      </c>
    </row>
    <row r="11" spans="1:3" ht="12.75">
      <c r="A11" s="267">
        <v>27364</v>
      </c>
      <c r="B11" s="265" t="s">
        <v>19</v>
      </c>
      <c r="C11" s="266">
        <v>376</v>
      </c>
    </row>
    <row r="12" spans="1:3" ht="12.75">
      <c r="A12" s="267">
        <v>27395</v>
      </c>
      <c r="B12" s="265" t="s">
        <v>19</v>
      </c>
      <c r="C12" s="266">
        <v>376</v>
      </c>
    </row>
    <row r="13" spans="1:3" ht="12.75">
      <c r="A13" s="267">
        <v>27426</v>
      </c>
      <c r="B13" s="265" t="s">
        <v>19</v>
      </c>
      <c r="C13" s="266">
        <v>376</v>
      </c>
    </row>
    <row r="14" spans="1:3" ht="12.75">
      <c r="A14" s="267">
        <v>27454</v>
      </c>
      <c r="B14" s="265" t="s">
        <v>19</v>
      </c>
      <c r="C14" s="266">
        <v>376</v>
      </c>
    </row>
    <row r="15" spans="1:3" ht="12.75">
      <c r="A15" s="267">
        <v>27485</v>
      </c>
      <c r="B15" s="265" t="s">
        <v>19</v>
      </c>
      <c r="C15" s="266">
        <v>376</v>
      </c>
    </row>
    <row r="16" spans="1:3" ht="12.75">
      <c r="A16" s="267">
        <v>27515</v>
      </c>
      <c r="B16" s="265" t="s">
        <v>19</v>
      </c>
      <c r="C16" s="266">
        <v>532.8</v>
      </c>
    </row>
    <row r="17" spans="1:3" ht="12.75">
      <c r="A17" s="267">
        <v>27546</v>
      </c>
      <c r="B17" s="265" t="s">
        <v>19</v>
      </c>
      <c r="C17" s="266">
        <v>532.8</v>
      </c>
    </row>
    <row r="18" spans="1:3" ht="12.75">
      <c r="A18" s="267">
        <v>27576</v>
      </c>
      <c r="B18" s="265" t="s">
        <v>19</v>
      </c>
      <c r="C18" s="266">
        <v>532.8</v>
      </c>
    </row>
    <row r="19" spans="1:3" ht="12.75">
      <c r="A19" s="267">
        <v>27607</v>
      </c>
      <c r="B19" s="265" t="s">
        <v>19</v>
      </c>
      <c r="C19" s="266">
        <v>532.8</v>
      </c>
    </row>
    <row r="20" spans="1:3" ht="12.75">
      <c r="A20" s="267">
        <v>27638</v>
      </c>
      <c r="B20" s="265" t="s">
        <v>19</v>
      </c>
      <c r="C20" s="266">
        <v>532.8</v>
      </c>
    </row>
    <row r="21" spans="1:3" ht="12.75">
      <c r="A21" s="267">
        <v>27668</v>
      </c>
      <c r="B21" s="265" t="s">
        <v>19</v>
      </c>
      <c r="C21" s="266">
        <v>532.8</v>
      </c>
    </row>
    <row r="22" spans="1:3" ht="12.75">
      <c r="A22" s="267">
        <v>27699</v>
      </c>
      <c r="B22" s="265" t="s">
        <v>19</v>
      </c>
      <c r="C22" s="266">
        <v>532.8</v>
      </c>
    </row>
    <row r="23" spans="1:3" ht="12.75">
      <c r="A23" s="267">
        <v>27729</v>
      </c>
      <c r="B23" s="265" t="s">
        <v>19</v>
      </c>
      <c r="C23" s="266">
        <v>532.8</v>
      </c>
    </row>
    <row r="24" spans="1:3" ht="12.75">
      <c r="A24" s="267">
        <v>27760</v>
      </c>
      <c r="B24" s="265" t="s">
        <v>19</v>
      </c>
      <c r="C24" s="266">
        <v>532.8</v>
      </c>
    </row>
    <row r="25" spans="1:3" ht="12.75">
      <c r="A25" s="267">
        <v>27791</v>
      </c>
      <c r="B25" s="265" t="s">
        <v>19</v>
      </c>
      <c r="C25" s="266">
        <v>532.8</v>
      </c>
    </row>
    <row r="26" spans="1:3" ht="12.75">
      <c r="A26" s="267">
        <v>27820</v>
      </c>
      <c r="B26" s="265" t="s">
        <v>19</v>
      </c>
      <c r="C26" s="266">
        <v>532.8</v>
      </c>
    </row>
    <row r="27" spans="1:3" ht="12.75">
      <c r="A27" s="267">
        <v>27851</v>
      </c>
      <c r="B27" s="265" t="s">
        <v>19</v>
      </c>
      <c r="C27" s="266">
        <v>532.8</v>
      </c>
    </row>
    <row r="28" spans="1:3" ht="12.75">
      <c r="A28" s="267">
        <v>27881</v>
      </c>
      <c r="B28" s="265" t="s">
        <v>19</v>
      </c>
      <c r="C28" s="266">
        <v>768</v>
      </c>
    </row>
    <row r="29" spans="1:3" ht="12.75">
      <c r="A29" s="267">
        <v>27912</v>
      </c>
      <c r="B29" s="265" t="s">
        <v>19</v>
      </c>
      <c r="C29" s="266">
        <v>768</v>
      </c>
    </row>
    <row r="30" spans="1:3" ht="12.75">
      <c r="A30" s="267">
        <v>27942</v>
      </c>
      <c r="B30" s="265" t="s">
        <v>19</v>
      </c>
      <c r="C30" s="266">
        <v>768</v>
      </c>
    </row>
    <row r="31" spans="1:3" ht="12.75">
      <c r="A31" s="267">
        <v>27973</v>
      </c>
      <c r="B31" s="265" t="s">
        <v>19</v>
      </c>
      <c r="C31" s="266">
        <v>768</v>
      </c>
    </row>
    <row r="32" spans="1:3" ht="12.75">
      <c r="A32" s="267">
        <v>28004</v>
      </c>
      <c r="B32" s="265" t="s">
        <v>19</v>
      </c>
      <c r="C32" s="266">
        <v>768</v>
      </c>
    </row>
    <row r="33" spans="1:3" ht="12.75">
      <c r="A33" s="267">
        <v>28034</v>
      </c>
      <c r="B33" s="265" t="s">
        <v>19</v>
      </c>
      <c r="C33" s="266">
        <v>768</v>
      </c>
    </row>
    <row r="34" spans="1:3" ht="12.75">
      <c r="A34" s="267">
        <v>28065</v>
      </c>
      <c r="B34" s="265" t="s">
        <v>19</v>
      </c>
      <c r="C34" s="266">
        <v>768</v>
      </c>
    </row>
    <row r="35" spans="1:3" ht="12.75">
      <c r="A35" s="267">
        <v>28095</v>
      </c>
      <c r="B35" s="265" t="s">
        <v>19</v>
      </c>
      <c r="C35" s="266">
        <v>768</v>
      </c>
    </row>
    <row r="36" spans="1:3" ht="12.75">
      <c r="A36" s="267">
        <v>28126</v>
      </c>
      <c r="B36" s="265" t="s">
        <v>19</v>
      </c>
      <c r="C36" s="266">
        <v>768</v>
      </c>
    </row>
    <row r="37" spans="1:3" ht="12.75">
      <c r="A37" s="267">
        <v>28157</v>
      </c>
      <c r="B37" s="265" t="s">
        <v>19</v>
      </c>
      <c r="C37" s="266">
        <v>768</v>
      </c>
    </row>
    <row r="38" spans="1:3" ht="12.75">
      <c r="A38" s="267">
        <v>28185</v>
      </c>
      <c r="B38" s="265" t="s">
        <v>19</v>
      </c>
      <c r="C38" s="266">
        <v>768</v>
      </c>
    </row>
    <row r="39" spans="1:3" ht="12.75">
      <c r="A39" s="267">
        <v>28216</v>
      </c>
      <c r="B39" s="265" t="s">
        <v>19</v>
      </c>
      <c r="C39" s="266">
        <v>768</v>
      </c>
    </row>
    <row r="40" spans="1:3" ht="12.75">
      <c r="A40" s="267">
        <v>28246</v>
      </c>
      <c r="B40" s="265" t="s">
        <v>19</v>
      </c>
      <c r="C40" s="266">
        <v>1106.4</v>
      </c>
    </row>
    <row r="41" spans="1:3" ht="12.75">
      <c r="A41" s="267">
        <v>28277</v>
      </c>
      <c r="B41" s="265" t="s">
        <v>19</v>
      </c>
      <c r="C41" s="266">
        <v>1106.4</v>
      </c>
    </row>
    <row r="42" spans="1:3" ht="12.75">
      <c r="A42" s="267">
        <v>28307</v>
      </c>
      <c r="B42" s="265" t="s">
        <v>19</v>
      </c>
      <c r="C42" s="266">
        <v>1106.4</v>
      </c>
    </row>
    <row r="43" spans="1:3" ht="12.75">
      <c r="A43" s="267">
        <v>28338</v>
      </c>
      <c r="B43" s="265" t="s">
        <v>19</v>
      </c>
      <c r="C43" s="266">
        <v>1106.4</v>
      </c>
    </row>
    <row r="44" spans="1:3" ht="12.75">
      <c r="A44" s="267">
        <v>28369</v>
      </c>
      <c r="B44" s="265" t="s">
        <v>19</v>
      </c>
      <c r="C44" s="266">
        <v>1106.4</v>
      </c>
    </row>
    <row r="45" spans="1:3" ht="12.75">
      <c r="A45" s="267">
        <v>28399</v>
      </c>
      <c r="B45" s="265" t="s">
        <v>19</v>
      </c>
      <c r="C45" s="266">
        <v>1106.4</v>
      </c>
    </row>
    <row r="46" spans="1:3" ht="12.75">
      <c r="A46" s="267">
        <v>28430</v>
      </c>
      <c r="B46" s="265" t="s">
        <v>19</v>
      </c>
      <c r="C46" s="266">
        <v>1106.4</v>
      </c>
    </row>
    <row r="47" spans="1:3" ht="12.75">
      <c r="A47" s="267">
        <v>28460</v>
      </c>
      <c r="B47" s="265" t="s">
        <v>19</v>
      </c>
      <c r="C47" s="266">
        <v>1106.4</v>
      </c>
    </row>
    <row r="48" spans="1:3" ht="12.75">
      <c r="A48" s="267">
        <v>28491</v>
      </c>
      <c r="B48" s="265" t="s">
        <v>19</v>
      </c>
      <c r="C48" s="266">
        <v>1106.4</v>
      </c>
    </row>
    <row r="49" spans="1:3" ht="12.75">
      <c r="A49" s="267">
        <v>28522</v>
      </c>
      <c r="B49" s="265" t="s">
        <v>19</v>
      </c>
      <c r="C49" s="266">
        <v>1106.4</v>
      </c>
    </row>
    <row r="50" spans="1:3" ht="12.75">
      <c r="A50" s="267">
        <v>28550</v>
      </c>
      <c r="B50" s="265" t="s">
        <v>19</v>
      </c>
      <c r="C50" s="266">
        <v>1106.4</v>
      </c>
    </row>
    <row r="51" spans="1:3" ht="12.75">
      <c r="A51" s="267">
        <v>28581</v>
      </c>
      <c r="B51" s="265" t="s">
        <v>19</v>
      </c>
      <c r="C51" s="266">
        <v>1106.4</v>
      </c>
    </row>
    <row r="52" spans="1:3" ht="12.75">
      <c r="A52" s="267">
        <v>28611</v>
      </c>
      <c r="B52" s="265" t="s">
        <v>19</v>
      </c>
      <c r="C52" s="266">
        <v>1560</v>
      </c>
    </row>
    <row r="53" spans="1:3" ht="12.75">
      <c r="A53" s="267">
        <v>28642</v>
      </c>
      <c r="B53" s="265" t="s">
        <v>19</v>
      </c>
      <c r="C53" s="266">
        <v>1560</v>
      </c>
    </row>
    <row r="54" spans="1:3" ht="12.75">
      <c r="A54" s="267">
        <v>28672</v>
      </c>
      <c r="B54" s="265" t="s">
        <v>19</v>
      </c>
      <c r="C54" s="266">
        <v>1560</v>
      </c>
    </row>
    <row r="55" spans="1:3" ht="12.75">
      <c r="A55" s="267">
        <v>28703</v>
      </c>
      <c r="B55" s="265" t="s">
        <v>19</v>
      </c>
      <c r="C55" s="266">
        <v>1560</v>
      </c>
    </row>
    <row r="56" spans="1:3" ht="12.75">
      <c r="A56" s="267">
        <v>28734</v>
      </c>
      <c r="B56" s="265" t="s">
        <v>19</v>
      </c>
      <c r="C56" s="266">
        <v>1560</v>
      </c>
    </row>
    <row r="57" spans="1:3" ht="12.75">
      <c r="A57" s="267">
        <v>28764</v>
      </c>
      <c r="B57" s="265" t="s">
        <v>19</v>
      </c>
      <c r="C57" s="266">
        <v>1560</v>
      </c>
    </row>
    <row r="58" spans="1:3" ht="12.75">
      <c r="A58" s="267">
        <v>28795</v>
      </c>
      <c r="B58" s="265" t="s">
        <v>19</v>
      </c>
      <c r="C58" s="266">
        <v>1560</v>
      </c>
    </row>
    <row r="59" spans="1:3" ht="12.75">
      <c r="A59" s="267">
        <v>28825</v>
      </c>
      <c r="B59" s="265" t="s">
        <v>19</v>
      </c>
      <c r="C59" s="266">
        <v>1560</v>
      </c>
    </row>
    <row r="60" spans="1:3" ht="12.75">
      <c r="A60" s="267">
        <v>28856</v>
      </c>
      <c r="B60" s="265" t="s">
        <v>19</v>
      </c>
      <c r="C60" s="266">
        <v>1560</v>
      </c>
    </row>
    <row r="61" spans="1:3" ht="12.75">
      <c r="A61" s="267">
        <v>28887</v>
      </c>
      <c r="B61" s="265" t="s">
        <v>19</v>
      </c>
      <c r="C61" s="266">
        <v>1560</v>
      </c>
    </row>
    <row r="62" spans="1:3" ht="12.75">
      <c r="A62" s="267">
        <v>28915</v>
      </c>
      <c r="B62" s="265" t="s">
        <v>19</v>
      </c>
      <c r="C62" s="266">
        <v>1560</v>
      </c>
    </row>
    <row r="63" spans="1:3" ht="12.75">
      <c r="A63" s="267">
        <v>28946</v>
      </c>
      <c r="B63" s="265" t="s">
        <v>19</v>
      </c>
      <c r="C63" s="266">
        <v>1560</v>
      </c>
    </row>
    <row r="64" spans="1:3" ht="12.75">
      <c r="A64" s="267">
        <v>28976</v>
      </c>
      <c r="B64" s="265" t="s">
        <v>19</v>
      </c>
      <c r="C64" s="266">
        <v>2268</v>
      </c>
    </row>
    <row r="65" spans="1:3" ht="12.75">
      <c r="A65" s="267">
        <v>29007</v>
      </c>
      <c r="B65" s="265" t="s">
        <v>19</v>
      </c>
      <c r="C65" s="266">
        <v>2268</v>
      </c>
    </row>
    <row r="66" spans="1:3" ht="12.75">
      <c r="A66" s="267">
        <v>29037</v>
      </c>
      <c r="B66" s="265" t="s">
        <v>19</v>
      </c>
      <c r="C66" s="266">
        <v>2268</v>
      </c>
    </row>
    <row r="67" spans="1:3" ht="12.75">
      <c r="A67" s="267">
        <v>29068</v>
      </c>
      <c r="B67" s="265" t="s">
        <v>19</v>
      </c>
      <c r="C67" s="266">
        <v>2268</v>
      </c>
    </row>
    <row r="68" spans="1:3" ht="12.75">
      <c r="A68" s="267">
        <v>29099</v>
      </c>
      <c r="B68" s="265" t="s">
        <v>19</v>
      </c>
      <c r="C68" s="266">
        <v>2268</v>
      </c>
    </row>
    <row r="69" spans="1:3" ht="12.75">
      <c r="A69" s="267">
        <v>29129</v>
      </c>
      <c r="B69" s="265" t="s">
        <v>19</v>
      </c>
      <c r="C69" s="266">
        <v>2268</v>
      </c>
    </row>
    <row r="70" spans="1:3" ht="12.75">
      <c r="A70" s="267">
        <v>29160</v>
      </c>
      <c r="B70" s="265" t="s">
        <v>19</v>
      </c>
      <c r="C70" s="266">
        <v>2932.8</v>
      </c>
    </row>
    <row r="71" spans="1:3" ht="12.75">
      <c r="A71" s="267">
        <v>29190</v>
      </c>
      <c r="B71" s="265" t="s">
        <v>19</v>
      </c>
      <c r="C71" s="266">
        <v>2932.8</v>
      </c>
    </row>
    <row r="72" spans="1:3" ht="12.75">
      <c r="A72" s="267">
        <v>29221</v>
      </c>
      <c r="B72" s="265" t="s">
        <v>19</v>
      </c>
      <c r="C72" s="266">
        <v>2932.8</v>
      </c>
    </row>
    <row r="73" spans="1:3" ht="12.75">
      <c r="A73" s="267">
        <v>29252</v>
      </c>
      <c r="B73" s="265" t="s">
        <v>19</v>
      </c>
      <c r="C73" s="266">
        <v>2932.8</v>
      </c>
    </row>
    <row r="74" spans="1:3" ht="12.75">
      <c r="A74" s="267">
        <v>29281</v>
      </c>
      <c r="B74" s="265" t="s">
        <v>19</v>
      </c>
      <c r="C74" s="266">
        <v>2932.8</v>
      </c>
    </row>
    <row r="75" spans="1:3" ht="12.75">
      <c r="A75" s="267">
        <v>29312</v>
      </c>
      <c r="B75" s="265" t="s">
        <v>19</v>
      </c>
      <c r="C75" s="266">
        <v>2932.8</v>
      </c>
    </row>
    <row r="76" spans="1:3" ht="12.75">
      <c r="A76" s="267">
        <v>29342</v>
      </c>
      <c r="B76" s="265" t="s">
        <v>19</v>
      </c>
      <c r="C76" s="266">
        <v>4149.6</v>
      </c>
    </row>
    <row r="77" spans="1:3" ht="12.75">
      <c r="A77" s="267">
        <v>29373</v>
      </c>
      <c r="B77" s="265" t="s">
        <v>19</v>
      </c>
      <c r="C77" s="266">
        <v>4149.6</v>
      </c>
    </row>
    <row r="78" spans="1:3" ht="12.75">
      <c r="A78" s="267">
        <v>29403</v>
      </c>
      <c r="B78" s="265" t="s">
        <v>19</v>
      </c>
      <c r="C78" s="266">
        <v>4149.6</v>
      </c>
    </row>
    <row r="79" spans="1:3" ht="12.75">
      <c r="A79" s="267">
        <v>29434</v>
      </c>
      <c r="B79" s="265" t="s">
        <v>19</v>
      </c>
      <c r="C79" s="266">
        <v>4149.6</v>
      </c>
    </row>
    <row r="80" spans="1:3" ht="12.75">
      <c r="A80" s="267">
        <v>29465</v>
      </c>
      <c r="B80" s="265" t="s">
        <v>19</v>
      </c>
      <c r="C80" s="266">
        <v>4149.6</v>
      </c>
    </row>
    <row r="81" spans="1:3" ht="12.75">
      <c r="A81" s="267">
        <v>29495</v>
      </c>
      <c r="B81" s="265" t="s">
        <v>19</v>
      </c>
      <c r="C81" s="266">
        <v>4149.6</v>
      </c>
    </row>
    <row r="82" spans="1:3" ht="12.75">
      <c r="A82" s="267">
        <v>29526</v>
      </c>
      <c r="B82" s="265" t="s">
        <v>19</v>
      </c>
      <c r="C82" s="266">
        <v>5788.8</v>
      </c>
    </row>
    <row r="83" spans="1:3" ht="12.75">
      <c r="A83" s="267">
        <v>29556</v>
      </c>
      <c r="B83" s="265" t="s">
        <v>19</v>
      </c>
      <c r="C83" s="266">
        <v>5788.8</v>
      </c>
    </row>
    <row r="84" spans="1:3" ht="12.75">
      <c r="A84" s="267">
        <v>29587</v>
      </c>
      <c r="B84" s="265" t="s">
        <v>19</v>
      </c>
      <c r="C84" s="266">
        <v>5788.8</v>
      </c>
    </row>
    <row r="85" spans="1:3" ht="12.75">
      <c r="A85" s="267">
        <v>29618</v>
      </c>
      <c r="B85" s="265" t="s">
        <v>19</v>
      </c>
      <c r="C85" s="266">
        <v>5788.8</v>
      </c>
    </row>
    <row r="86" spans="1:3" ht="12.75">
      <c r="A86" s="267">
        <v>29646</v>
      </c>
      <c r="B86" s="265" t="s">
        <v>19</v>
      </c>
      <c r="C86" s="266">
        <v>5788.8</v>
      </c>
    </row>
    <row r="87" spans="1:3" ht="12.75">
      <c r="A87" s="267">
        <v>29677</v>
      </c>
      <c r="B87" s="265" t="s">
        <v>19</v>
      </c>
      <c r="C87" s="266">
        <v>5788.8</v>
      </c>
    </row>
    <row r="88" spans="1:3" ht="12.75">
      <c r="A88" s="267">
        <v>29707</v>
      </c>
      <c r="B88" s="265" t="s">
        <v>19</v>
      </c>
      <c r="C88" s="266">
        <v>8464.8</v>
      </c>
    </row>
    <row r="89" spans="1:3" ht="12.75">
      <c r="A89" s="267">
        <v>29738</v>
      </c>
      <c r="B89" s="265" t="s">
        <v>19</v>
      </c>
      <c r="C89" s="266">
        <v>8464.8</v>
      </c>
    </row>
    <row r="90" spans="1:3" ht="12.75">
      <c r="A90" s="267">
        <v>29768</v>
      </c>
      <c r="B90" s="265" t="s">
        <v>19</v>
      </c>
      <c r="C90" s="266">
        <v>8464.8</v>
      </c>
    </row>
    <row r="91" spans="1:3" ht="12.75">
      <c r="A91" s="267">
        <v>29799</v>
      </c>
      <c r="B91" s="265" t="s">
        <v>19</v>
      </c>
      <c r="C91" s="266">
        <v>8464.8</v>
      </c>
    </row>
    <row r="92" spans="1:3" ht="12.75">
      <c r="A92" s="267">
        <v>29830</v>
      </c>
      <c r="B92" s="265" t="s">
        <v>19</v>
      </c>
      <c r="C92" s="266">
        <v>8464.8</v>
      </c>
    </row>
    <row r="93" spans="1:3" ht="12.75">
      <c r="A93" s="267">
        <v>29860</v>
      </c>
      <c r="B93" s="265" t="s">
        <v>19</v>
      </c>
      <c r="C93" s="266">
        <v>8464.8</v>
      </c>
    </row>
    <row r="94" spans="1:3" ht="12.75">
      <c r="A94" s="267">
        <v>29891</v>
      </c>
      <c r="B94" s="265" t="s">
        <v>19</v>
      </c>
      <c r="C94" s="266">
        <v>11928</v>
      </c>
    </row>
    <row r="95" spans="1:3" ht="12.75">
      <c r="A95" s="267">
        <v>29921</v>
      </c>
      <c r="B95" s="265" t="s">
        <v>19</v>
      </c>
      <c r="C95" s="266">
        <v>11928</v>
      </c>
    </row>
    <row r="96" spans="1:3" ht="12.75">
      <c r="A96" s="267">
        <v>29952</v>
      </c>
      <c r="B96" s="265" t="s">
        <v>19</v>
      </c>
      <c r="C96" s="266">
        <v>11928</v>
      </c>
    </row>
    <row r="97" spans="1:3" ht="12.75">
      <c r="A97" s="267">
        <v>29983</v>
      </c>
      <c r="B97" s="265" t="s">
        <v>19</v>
      </c>
      <c r="C97" s="266">
        <v>11928</v>
      </c>
    </row>
    <row r="98" spans="1:3" ht="12.75">
      <c r="A98" s="267">
        <v>30011</v>
      </c>
      <c r="B98" s="265" t="s">
        <v>19</v>
      </c>
      <c r="C98" s="266">
        <v>11928</v>
      </c>
    </row>
    <row r="99" spans="1:3" ht="12.75">
      <c r="A99" s="267">
        <v>30042</v>
      </c>
      <c r="B99" s="265" t="s">
        <v>19</v>
      </c>
      <c r="C99" s="266">
        <v>11928</v>
      </c>
    </row>
    <row r="100" spans="1:3" ht="12.75">
      <c r="A100" s="267">
        <v>30072</v>
      </c>
      <c r="B100" s="265" t="s">
        <v>19</v>
      </c>
      <c r="C100" s="266">
        <v>16608</v>
      </c>
    </row>
    <row r="101" spans="1:3" ht="12.75">
      <c r="A101" s="267">
        <v>30103</v>
      </c>
      <c r="B101" s="265" t="s">
        <v>19</v>
      </c>
      <c r="C101" s="266">
        <v>16608</v>
      </c>
    </row>
    <row r="102" spans="1:3" ht="12.75">
      <c r="A102" s="267">
        <v>30133</v>
      </c>
      <c r="B102" s="265" t="s">
        <v>19</v>
      </c>
      <c r="C102" s="266">
        <v>16608</v>
      </c>
    </row>
    <row r="103" spans="1:3" ht="12.75">
      <c r="A103" s="267">
        <v>30164</v>
      </c>
      <c r="B103" s="265" t="s">
        <v>19</v>
      </c>
      <c r="C103" s="266">
        <v>16608</v>
      </c>
    </row>
    <row r="104" spans="1:3" ht="12.75">
      <c r="A104" s="267">
        <v>30195</v>
      </c>
      <c r="B104" s="265" t="s">
        <v>19</v>
      </c>
      <c r="C104" s="266">
        <v>16608</v>
      </c>
    </row>
    <row r="105" spans="1:3" ht="12.75">
      <c r="A105" s="267">
        <v>30225</v>
      </c>
      <c r="B105" s="265" t="s">
        <v>19</v>
      </c>
      <c r="C105" s="266">
        <v>16608</v>
      </c>
    </row>
    <row r="106" spans="1:3" ht="12.75">
      <c r="A106" s="267">
        <v>30256</v>
      </c>
      <c r="B106" s="265" t="s">
        <v>19</v>
      </c>
      <c r="C106" s="266">
        <v>23568</v>
      </c>
    </row>
    <row r="107" spans="1:3" ht="12.75">
      <c r="A107" s="267">
        <v>30286</v>
      </c>
      <c r="B107" s="265" t="s">
        <v>19</v>
      </c>
      <c r="C107" s="266">
        <v>23568</v>
      </c>
    </row>
    <row r="108" spans="1:3" ht="12.75">
      <c r="A108" s="267">
        <v>30317</v>
      </c>
      <c r="B108" s="265" t="s">
        <v>19</v>
      </c>
      <c r="C108" s="266">
        <v>23568</v>
      </c>
    </row>
    <row r="109" spans="1:3" ht="12.75">
      <c r="A109" s="267">
        <v>30348</v>
      </c>
      <c r="B109" s="265" t="s">
        <v>19</v>
      </c>
      <c r="C109" s="266">
        <v>23568</v>
      </c>
    </row>
    <row r="110" spans="1:3" ht="12.75">
      <c r="A110" s="267">
        <v>30376</v>
      </c>
      <c r="B110" s="265" t="s">
        <v>19</v>
      </c>
      <c r="C110" s="266">
        <v>23568</v>
      </c>
    </row>
    <row r="111" spans="1:3" ht="12.75">
      <c r="A111" s="267">
        <v>30407</v>
      </c>
      <c r="B111" s="265" t="s">
        <v>19</v>
      </c>
      <c r="C111" s="266">
        <v>23568</v>
      </c>
    </row>
    <row r="112" spans="1:3" ht="12.75">
      <c r="A112" s="267">
        <v>30437</v>
      </c>
      <c r="B112" s="265" t="s">
        <v>19</v>
      </c>
      <c r="C112" s="266">
        <v>37776</v>
      </c>
    </row>
    <row r="113" spans="1:3" ht="12.75">
      <c r="A113" s="267">
        <v>30468</v>
      </c>
      <c r="B113" s="265" t="s">
        <v>19</v>
      </c>
      <c r="C113" s="266">
        <v>37776</v>
      </c>
    </row>
    <row r="114" spans="1:3" ht="12.75">
      <c r="A114" s="267">
        <v>30498</v>
      </c>
      <c r="B114" s="265" t="s">
        <v>19</v>
      </c>
      <c r="C114" s="266">
        <v>37776</v>
      </c>
    </row>
    <row r="115" spans="1:3" ht="12.75">
      <c r="A115" s="267">
        <v>30529</v>
      </c>
      <c r="B115" s="265" t="s">
        <v>19</v>
      </c>
      <c r="C115" s="266">
        <v>37776</v>
      </c>
    </row>
    <row r="116" spans="1:3" ht="12.75">
      <c r="A116" s="267">
        <v>30560</v>
      </c>
      <c r="B116" s="265" t="s">
        <v>19</v>
      </c>
      <c r="C116" s="266">
        <v>37776</v>
      </c>
    </row>
    <row r="117" spans="1:3" ht="12.75">
      <c r="A117" s="267">
        <v>30590</v>
      </c>
      <c r="B117" s="265" t="s">
        <v>19</v>
      </c>
      <c r="C117" s="266">
        <v>37776</v>
      </c>
    </row>
    <row r="118" spans="1:3" ht="12.75">
      <c r="A118" s="267">
        <v>30621</v>
      </c>
      <c r="B118" s="265" t="s">
        <v>19</v>
      </c>
      <c r="C118" s="266">
        <v>57120</v>
      </c>
    </row>
    <row r="119" spans="1:3" ht="12.75">
      <c r="A119" s="267">
        <v>30651</v>
      </c>
      <c r="B119" s="265" t="s">
        <v>19</v>
      </c>
      <c r="C119" s="266">
        <v>57120</v>
      </c>
    </row>
    <row r="120" spans="1:3" ht="12.75">
      <c r="A120" s="267">
        <v>30682</v>
      </c>
      <c r="B120" s="265" t="s">
        <v>19</v>
      </c>
      <c r="C120" s="266">
        <v>57120</v>
      </c>
    </row>
    <row r="121" spans="1:3" ht="12.75">
      <c r="A121" s="267">
        <v>30713</v>
      </c>
      <c r="B121" s="265" t="s">
        <v>19</v>
      </c>
      <c r="C121" s="266">
        <v>57120</v>
      </c>
    </row>
    <row r="122" spans="1:3" ht="12.75">
      <c r="A122" s="267">
        <v>30742</v>
      </c>
      <c r="B122" s="265" t="s">
        <v>19</v>
      </c>
      <c r="C122" s="266">
        <v>57120</v>
      </c>
    </row>
    <row r="123" spans="1:3" ht="12.75">
      <c r="A123" s="267">
        <v>30773</v>
      </c>
      <c r="B123" s="265" t="s">
        <v>19</v>
      </c>
      <c r="C123" s="266">
        <v>57120</v>
      </c>
    </row>
    <row r="124" spans="1:3" ht="12.75">
      <c r="A124" s="267">
        <v>30803</v>
      </c>
      <c r="B124" s="265" t="s">
        <v>19</v>
      </c>
      <c r="C124" s="266">
        <v>97176</v>
      </c>
    </row>
    <row r="125" spans="1:3" ht="12.75">
      <c r="A125" s="267">
        <v>30834</v>
      </c>
      <c r="B125" s="265" t="s">
        <v>19</v>
      </c>
      <c r="C125" s="266">
        <v>97176</v>
      </c>
    </row>
    <row r="126" spans="1:3" ht="12.75">
      <c r="A126" s="267">
        <v>30864</v>
      </c>
      <c r="B126" s="265" t="s">
        <v>19</v>
      </c>
      <c r="C126" s="266">
        <v>97176</v>
      </c>
    </row>
    <row r="127" spans="1:3" ht="12.75">
      <c r="A127" s="267">
        <v>30895</v>
      </c>
      <c r="B127" s="265" t="s">
        <v>19</v>
      </c>
      <c r="C127" s="266">
        <v>97176</v>
      </c>
    </row>
    <row r="128" spans="1:3" ht="12.75">
      <c r="A128" s="267">
        <v>30926</v>
      </c>
      <c r="B128" s="265" t="s">
        <v>19</v>
      </c>
      <c r="C128" s="266">
        <v>97176</v>
      </c>
    </row>
    <row r="129" spans="1:3" ht="12.75">
      <c r="A129" s="267">
        <v>30956</v>
      </c>
      <c r="B129" s="265" t="s">
        <v>19</v>
      </c>
      <c r="C129" s="266">
        <v>97176</v>
      </c>
    </row>
    <row r="130" spans="1:3" ht="12.75">
      <c r="A130" s="267">
        <v>30987</v>
      </c>
      <c r="B130" s="265" t="s">
        <v>19</v>
      </c>
      <c r="C130" s="266">
        <v>166560</v>
      </c>
    </row>
    <row r="131" spans="1:3" ht="12.75">
      <c r="A131" s="267">
        <v>31017</v>
      </c>
      <c r="B131" s="265" t="s">
        <v>19</v>
      </c>
      <c r="C131" s="266">
        <v>166560</v>
      </c>
    </row>
    <row r="132" spans="1:3" ht="12.75">
      <c r="A132" s="267">
        <v>31048</v>
      </c>
      <c r="B132" s="265" t="s">
        <v>19</v>
      </c>
      <c r="C132" s="266">
        <v>166560</v>
      </c>
    </row>
    <row r="133" spans="1:3" ht="12.75">
      <c r="A133" s="267">
        <v>31079</v>
      </c>
      <c r="B133" s="265" t="s">
        <v>19</v>
      </c>
      <c r="C133" s="266">
        <v>166560</v>
      </c>
    </row>
    <row r="134" spans="1:3" ht="12.75">
      <c r="A134" s="267">
        <v>31107</v>
      </c>
      <c r="B134" s="265" t="s">
        <v>19</v>
      </c>
      <c r="C134" s="266">
        <v>166560</v>
      </c>
    </row>
    <row r="135" spans="1:3" ht="12.75">
      <c r="A135" s="267">
        <v>31138</v>
      </c>
      <c r="B135" s="265" t="s">
        <v>19</v>
      </c>
      <c r="C135" s="266">
        <v>166560</v>
      </c>
    </row>
    <row r="136" spans="1:3" ht="12.75">
      <c r="A136" s="267">
        <v>31168</v>
      </c>
      <c r="B136" s="265" t="s">
        <v>19</v>
      </c>
      <c r="C136" s="266">
        <v>333120</v>
      </c>
    </row>
    <row r="137" spans="1:3" ht="12.75">
      <c r="A137" s="267">
        <v>31199</v>
      </c>
      <c r="B137" s="265" t="s">
        <v>19</v>
      </c>
      <c r="C137" s="266">
        <v>333120</v>
      </c>
    </row>
    <row r="138" spans="1:3" ht="12.75">
      <c r="A138" s="267">
        <v>31229</v>
      </c>
      <c r="B138" s="265" t="s">
        <v>19</v>
      </c>
      <c r="C138" s="266">
        <v>333120</v>
      </c>
    </row>
    <row r="139" spans="1:3" ht="12.75">
      <c r="A139" s="267">
        <v>31260</v>
      </c>
      <c r="B139" s="265" t="s">
        <v>19</v>
      </c>
      <c r="C139" s="266">
        <v>333120</v>
      </c>
    </row>
    <row r="140" spans="1:3" ht="12.75">
      <c r="A140" s="267">
        <v>31291</v>
      </c>
      <c r="B140" s="265" t="s">
        <v>19</v>
      </c>
      <c r="C140" s="266">
        <v>333120</v>
      </c>
    </row>
    <row r="141" spans="1:3" ht="12.75">
      <c r="A141" s="267">
        <v>31321</v>
      </c>
      <c r="B141" s="265" t="s">
        <v>19</v>
      </c>
      <c r="C141" s="266">
        <v>333120</v>
      </c>
    </row>
    <row r="142" spans="1:3" ht="12.75">
      <c r="A142" s="267">
        <v>31352</v>
      </c>
      <c r="B142" s="265" t="s">
        <v>19</v>
      </c>
      <c r="C142" s="266">
        <v>600000</v>
      </c>
    </row>
    <row r="143" spans="1:3" ht="12.75">
      <c r="A143" s="267">
        <v>31382</v>
      </c>
      <c r="B143" s="265" t="s">
        <v>19</v>
      </c>
      <c r="C143" s="266">
        <v>600000</v>
      </c>
    </row>
    <row r="144" spans="1:3" ht="12.75">
      <c r="A144" s="267">
        <v>31413</v>
      </c>
      <c r="B144" s="265" t="s">
        <v>19</v>
      </c>
      <c r="C144" s="266">
        <v>600000</v>
      </c>
    </row>
    <row r="145" spans="1:3" ht="12.75">
      <c r="A145" s="267">
        <v>31444</v>
      </c>
      <c r="B145" s="265" t="s">
        <v>19</v>
      </c>
      <c r="C145" s="266">
        <v>600000</v>
      </c>
    </row>
    <row r="146" spans="1:3" ht="12.75">
      <c r="A146" s="267">
        <v>31472</v>
      </c>
      <c r="B146" s="265" t="s">
        <v>301</v>
      </c>
      <c r="C146" s="266">
        <v>804</v>
      </c>
    </row>
    <row r="147" spans="1:3" ht="12.75">
      <c r="A147" s="267">
        <v>31503</v>
      </c>
      <c r="B147" s="265" t="s">
        <v>301</v>
      </c>
      <c r="C147" s="266">
        <v>804</v>
      </c>
    </row>
    <row r="148" spans="1:3" ht="12.75">
      <c r="A148" s="267">
        <v>31533</v>
      </c>
      <c r="B148" s="265" t="s">
        <v>301</v>
      </c>
      <c r="C148" s="266">
        <v>804</v>
      </c>
    </row>
    <row r="149" spans="1:3" ht="12.75">
      <c r="A149" s="267">
        <v>31564</v>
      </c>
      <c r="B149" s="265" t="s">
        <v>301</v>
      </c>
      <c r="C149" s="266">
        <v>804</v>
      </c>
    </row>
    <row r="150" spans="1:3" ht="12.75">
      <c r="A150" s="267">
        <v>31594</v>
      </c>
      <c r="B150" s="265" t="s">
        <v>301</v>
      </c>
      <c r="C150" s="266">
        <v>804</v>
      </c>
    </row>
    <row r="151" spans="1:3" ht="12.75">
      <c r="A151" s="267">
        <v>31625</v>
      </c>
      <c r="B151" s="265" t="s">
        <v>301</v>
      </c>
      <c r="C151" s="266">
        <v>804</v>
      </c>
    </row>
    <row r="152" spans="1:3" ht="12.75">
      <c r="A152" s="267">
        <v>31656</v>
      </c>
      <c r="B152" s="265" t="s">
        <v>301</v>
      </c>
      <c r="C152" s="266">
        <v>804</v>
      </c>
    </row>
    <row r="153" spans="1:3" ht="12.75">
      <c r="A153" s="267">
        <v>31686</v>
      </c>
      <c r="B153" s="265" t="s">
        <v>301</v>
      </c>
      <c r="C153" s="266">
        <v>804</v>
      </c>
    </row>
    <row r="154" spans="1:3" ht="12.75">
      <c r="A154" s="267">
        <v>31717</v>
      </c>
      <c r="B154" s="265" t="s">
        <v>301</v>
      </c>
      <c r="C154" s="266">
        <v>804</v>
      </c>
    </row>
    <row r="155" spans="1:3" ht="12.75">
      <c r="A155" s="267">
        <v>31747</v>
      </c>
      <c r="B155" s="265" t="s">
        <v>301</v>
      </c>
      <c r="C155" s="266">
        <v>804</v>
      </c>
    </row>
    <row r="156" spans="1:3" ht="12.75">
      <c r="A156" s="267">
        <v>31778</v>
      </c>
      <c r="B156" s="265" t="s">
        <v>301</v>
      </c>
      <c r="C156" s="266">
        <v>964.8</v>
      </c>
    </row>
    <row r="157" spans="1:3" ht="12.75">
      <c r="A157" s="267">
        <v>31809</v>
      </c>
      <c r="B157" s="265" t="s">
        <v>301</v>
      </c>
      <c r="C157" s="266">
        <v>964.8</v>
      </c>
    </row>
    <row r="158" spans="1:3" ht="12.75">
      <c r="A158" s="267">
        <v>31837</v>
      </c>
      <c r="B158" s="265" t="s">
        <v>301</v>
      </c>
      <c r="C158" s="266">
        <v>1368</v>
      </c>
    </row>
    <row r="159" spans="1:3" ht="12.75">
      <c r="A159" s="267">
        <v>31868</v>
      </c>
      <c r="B159" s="265" t="s">
        <v>301</v>
      </c>
      <c r="C159" s="266">
        <v>1368</v>
      </c>
    </row>
    <row r="160" spans="1:3" ht="12.75">
      <c r="A160" s="267">
        <v>31898</v>
      </c>
      <c r="B160" s="265" t="s">
        <v>301</v>
      </c>
      <c r="C160" s="266">
        <v>1641.6</v>
      </c>
    </row>
    <row r="161" spans="1:3" ht="12.75">
      <c r="A161" s="267">
        <v>31929</v>
      </c>
      <c r="B161" s="265" t="s">
        <v>301</v>
      </c>
      <c r="C161" s="266">
        <v>1969.82</v>
      </c>
    </row>
    <row r="162" spans="1:3" ht="12.75">
      <c r="A162" s="267">
        <v>31959</v>
      </c>
      <c r="B162" s="265" t="s">
        <v>301</v>
      </c>
      <c r="C162" s="266">
        <v>1969.82</v>
      </c>
    </row>
    <row r="163" spans="1:3" ht="12.75">
      <c r="A163" s="267">
        <v>31990</v>
      </c>
      <c r="B163" s="265" t="s">
        <v>301</v>
      </c>
      <c r="C163" s="266">
        <v>1970</v>
      </c>
    </row>
    <row r="164" spans="1:3" ht="12.75">
      <c r="A164" s="267">
        <v>32021</v>
      </c>
      <c r="B164" s="265" t="s">
        <v>301</v>
      </c>
      <c r="C164" s="266">
        <v>2400</v>
      </c>
    </row>
    <row r="165" spans="1:3" ht="12.75">
      <c r="A165" s="267">
        <v>32051</v>
      </c>
      <c r="B165" s="265" t="s">
        <v>301</v>
      </c>
      <c r="C165" s="266">
        <v>2640</v>
      </c>
    </row>
    <row r="166" spans="1:3" ht="12.75">
      <c r="A166" s="267">
        <v>32082</v>
      </c>
      <c r="B166" s="265" t="s">
        <v>301</v>
      </c>
      <c r="C166" s="266">
        <v>3000</v>
      </c>
    </row>
    <row r="167" spans="1:3" ht="12.75">
      <c r="A167" s="267">
        <v>32112</v>
      </c>
      <c r="B167" s="265" t="s">
        <v>301</v>
      </c>
      <c r="C167" s="266">
        <v>3600</v>
      </c>
    </row>
    <row r="168" spans="1:3" ht="12.75">
      <c r="A168" s="267">
        <v>32143</v>
      </c>
      <c r="B168" s="265" t="s">
        <v>301</v>
      </c>
      <c r="C168" s="266">
        <v>4500</v>
      </c>
    </row>
    <row r="169" spans="1:3" ht="12.75">
      <c r="A169" s="267">
        <v>32174</v>
      </c>
      <c r="B169" s="265" t="s">
        <v>301</v>
      </c>
      <c r="C169" s="266">
        <v>5280</v>
      </c>
    </row>
    <row r="170" spans="1:3" ht="12.75">
      <c r="A170" s="267">
        <v>32203</v>
      </c>
      <c r="B170" s="265" t="s">
        <v>301</v>
      </c>
      <c r="C170" s="266">
        <v>6240</v>
      </c>
    </row>
    <row r="171" spans="1:3" ht="12.75">
      <c r="A171" s="267">
        <v>32234</v>
      </c>
      <c r="B171" s="265" t="s">
        <v>301</v>
      </c>
      <c r="C171" s="266">
        <v>7260</v>
      </c>
    </row>
    <row r="172" spans="1:3" ht="12.75">
      <c r="A172" s="267">
        <v>32264</v>
      </c>
      <c r="B172" s="265" t="s">
        <v>301</v>
      </c>
      <c r="C172" s="266">
        <v>8712</v>
      </c>
    </row>
    <row r="173" spans="1:3" ht="12.75">
      <c r="A173" s="267">
        <v>32295</v>
      </c>
      <c r="B173" s="265" t="s">
        <v>301</v>
      </c>
      <c r="C173" s="266">
        <v>10368</v>
      </c>
    </row>
    <row r="174" spans="1:3" ht="12.75">
      <c r="A174" s="267">
        <v>32325</v>
      </c>
      <c r="B174" s="265" t="s">
        <v>301</v>
      </c>
      <c r="C174" s="266">
        <v>12444</v>
      </c>
    </row>
    <row r="175" spans="1:3" ht="12.75">
      <c r="A175" s="267">
        <v>32356</v>
      </c>
      <c r="B175" s="265" t="s">
        <v>301</v>
      </c>
      <c r="C175" s="266">
        <v>15552</v>
      </c>
    </row>
    <row r="176" spans="1:3" ht="12.75">
      <c r="A176" s="267">
        <v>32387</v>
      </c>
      <c r="B176" s="265" t="s">
        <v>301</v>
      </c>
      <c r="C176" s="266">
        <v>18960</v>
      </c>
    </row>
    <row r="177" spans="1:3" ht="12.75">
      <c r="A177" s="267">
        <v>32417</v>
      </c>
      <c r="B177" s="265" t="s">
        <v>301</v>
      </c>
      <c r="C177" s="266">
        <v>23700</v>
      </c>
    </row>
    <row r="178" spans="1:3" ht="12.75">
      <c r="A178" s="267">
        <v>32448</v>
      </c>
      <c r="B178" s="265" t="s">
        <v>301</v>
      </c>
      <c r="C178" s="266">
        <v>30800</v>
      </c>
    </row>
    <row r="179" spans="1:3" ht="12.75">
      <c r="A179" s="267">
        <v>32478</v>
      </c>
      <c r="B179" s="265" t="s">
        <v>301</v>
      </c>
      <c r="C179" s="266">
        <v>40425</v>
      </c>
    </row>
    <row r="180" spans="1:3" ht="12.75">
      <c r="A180" s="267">
        <v>32509</v>
      </c>
      <c r="B180" s="265" t="s">
        <v>301</v>
      </c>
      <c r="C180" s="266">
        <v>54374</v>
      </c>
    </row>
    <row r="181" spans="1:3" ht="12.75">
      <c r="A181" s="267">
        <v>32540</v>
      </c>
      <c r="B181" s="265" t="s">
        <v>302</v>
      </c>
      <c r="C181" s="266">
        <v>63.9</v>
      </c>
    </row>
    <row r="182" spans="1:3" ht="12.75">
      <c r="A182" s="267">
        <v>32568</v>
      </c>
      <c r="B182" s="265" t="s">
        <v>302</v>
      </c>
      <c r="C182" s="266">
        <v>63.9</v>
      </c>
    </row>
    <row r="183" spans="1:3" ht="12.75">
      <c r="A183" s="267">
        <v>32599</v>
      </c>
      <c r="B183" s="265" t="s">
        <v>302</v>
      </c>
      <c r="C183" s="266">
        <v>63.9</v>
      </c>
    </row>
    <row r="184" spans="1:3" ht="12.75">
      <c r="A184" s="267">
        <v>32629</v>
      </c>
      <c r="B184" s="265" t="s">
        <v>302</v>
      </c>
      <c r="C184" s="266">
        <v>81.4</v>
      </c>
    </row>
    <row r="185" spans="1:3" ht="12.75">
      <c r="A185" s="267">
        <v>32660</v>
      </c>
      <c r="B185" s="265" t="s">
        <v>302</v>
      </c>
      <c r="C185" s="266">
        <v>120</v>
      </c>
    </row>
    <row r="186" spans="1:3" ht="12.75">
      <c r="A186" s="267">
        <v>32690</v>
      </c>
      <c r="B186" s="265" t="s">
        <v>302</v>
      </c>
      <c r="C186" s="266">
        <v>149.8</v>
      </c>
    </row>
    <row r="187" spans="1:3" ht="12.75">
      <c r="A187" s="267">
        <v>32721</v>
      </c>
      <c r="B187" s="265" t="s">
        <v>302</v>
      </c>
      <c r="C187" s="266">
        <v>192.88</v>
      </c>
    </row>
    <row r="188" spans="1:3" ht="12.75">
      <c r="A188" s="267">
        <v>32752</v>
      </c>
      <c r="B188" s="265" t="s">
        <v>302</v>
      </c>
      <c r="C188" s="266">
        <v>249.48</v>
      </c>
    </row>
    <row r="189" spans="1:3" ht="12.75">
      <c r="A189" s="267">
        <v>32782</v>
      </c>
      <c r="B189" s="265" t="s">
        <v>302</v>
      </c>
      <c r="C189" s="266">
        <v>381.73</v>
      </c>
    </row>
    <row r="190" spans="1:3" ht="12.75">
      <c r="A190" s="267">
        <v>32813</v>
      </c>
      <c r="B190" s="265" t="s">
        <v>302</v>
      </c>
      <c r="C190" s="266">
        <v>557.33</v>
      </c>
    </row>
    <row r="191" spans="1:3" ht="12.75">
      <c r="A191" s="267">
        <v>32843</v>
      </c>
      <c r="B191" s="265" t="s">
        <v>302</v>
      </c>
      <c r="C191" s="266">
        <v>788.18</v>
      </c>
    </row>
    <row r="192" spans="1:3" ht="12.75">
      <c r="A192" s="267">
        <v>32874</v>
      </c>
      <c r="B192" s="265" t="s">
        <v>302</v>
      </c>
      <c r="C192" s="266">
        <v>1283.95</v>
      </c>
    </row>
    <row r="193" spans="1:3" ht="12.75">
      <c r="A193" s="267">
        <v>32905</v>
      </c>
      <c r="B193" s="265" t="s">
        <v>302</v>
      </c>
      <c r="C193" s="266">
        <v>2004.37</v>
      </c>
    </row>
    <row r="194" spans="1:3" ht="12.75">
      <c r="A194" s="267">
        <v>32933</v>
      </c>
      <c r="B194" s="265" t="s">
        <v>302</v>
      </c>
      <c r="C194" s="266">
        <v>3674.06</v>
      </c>
    </row>
    <row r="195" spans="1:3" ht="12.75">
      <c r="A195" s="267">
        <v>32964</v>
      </c>
      <c r="B195" s="265" t="s">
        <v>19</v>
      </c>
      <c r="C195" s="266">
        <v>3674.06</v>
      </c>
    </row>
    <row r="196" spans="1:3" ht="12.75">
      <c r="A196" s="267">
        <v>32994</v>
      </c>
      <c r="B196" s="265" t="s">
        <v>19</v>
      </c>
      <c r="C196" s="266">
        <v>3674.06</v>
      </c>
    </row>
    <row r="197" spans="1:3" ht="12.75">
      <c r="A197" s="267">
        <v>33025</v>
      </c>
      <c r="B197" s="265" t="s">
        <v>19</v>
      </c>
      <c r="C197" s="266">
        <v>3857.76</v>
      </c>
    </row>
    <row r="198" spans="1:3" ht="12.75">
      <c r="A198" s="267">
        <v>33055</v>
      </c>
      <c r="B198" s="265" t="s">
        <v>19</v>
      </c>
      <c r="C198" s="266">
        <v>4904.76</v>
      </c>
    </row>
    <row r="199" spans="1:3" ht="12.75">
      <c r="A199" s="267">
        <v>33086</v>
      </c>
      <c r="B199" s="265" t="s">
        <v>19</v>
      </c>
      <c r="C199" s="266">
        <v>5203.46</v>
      </c>
    </row>
    <row r="200" spans="1:3" ht="12.75">
      <c r="A200" s="267">
        <v>33117</v>
      </c>
      <c r="B200" s="265" t="s">
        <v>19</v>
      </c>
      <c r="C200" s="266">
        <v>6056.31</v>
      </c>
    </row>
    <row r="201" spans="1:3" ht="12.75">
      <c r="A201" s="267">
        <v>33147</v>
      </c>
      <c r="B201" s="265" t="s">
        <v>19</v>
      </c>
      <c r="C201" s="266">
        <v>6425.14</v>
      </c>
    </row>
    <row r="202" spans="1:3" ht="12.75">
      <c r="A202" s="267">
        <v>33178</v>
      </c>
      <c r="B202" s="265" t="s">
        <v>19</v>
      </c>
      <c r="C202" s="266">
        <v>8329.55</v>
      </c>
    </row>
    <row r="203" spans="1:3" ht="12.75">
      <c r="A203" s="267">
        <v>33208</v>
      </c>
      <c r="B203" s="265" t="s">
        <v>19</v>
      </c>
      <c r="C203" s="266">
        <v>8836.82</v>
      </c>
    </row>
    <row r="204" spans="1:3" ht="12.75">
      <c r="A204" s="267">
        <v>33239</v>
      </c>
      <c r="B204" s="265" t="s">
        <v>19</v>
      </c>
      <c r="C204" s="266">
        <v>12325.6</v>
      </c>
    </row>
    <row r="205" spans="1:3" ht="12.75">
      <c r="A205" s="267">
        <v>33270</v>
      </c>
      <c r="B205" s="265" t="s">
        <v>19</v>
      </c>
      <c r="C205" s="266">
        <v>15895.46</v>
      </c>
    </row>
    <row r="206" spans="1:3" ht="12.75">
      <c r="A206" s="267">
        <v>33298</v>
      </c>
      <c r="B206" s="265" t="s">
        <v>19</v>
      </c>
      <c r="C206" s="266">
        <v>17000</v>
      </c>
    </row>
    <row r="207" spans="1:3" ht="12.75">
      <c r="A207" s="267">
        <v>33329</v>
      </c>
      <c r="B207" s="265" t="s">
        <v>19</v>
      </c>
      <c r="C207" s="266">
        <v>17000</v>
      </c>
    </row>
    <row r="208" spans="1:3" ht="12.75">
      <c r="A208" s="267">
        <v>33359</v>
      </c>
      <c r="B208" s="265" t="s">
        <v>19</v>
      </c>
      <c r="C208" s="266">
        <v>17000</v>
      </c>
    </row>
    <row r="209" spans="1:3" ht="12.75">
      <c r="A209" s="267">
        <v>33390</v>
      </c>
      <c r="B209" s="265" t="s">
        <v>19</v>
      </c>
      <c r="C209" s="266">
        <v>17000</v>
      </c>
    </row>
    <row r="210" spans="1:3" ht="12.75">
      <c r="A210" s="267">
        <v>33420</v>
      </c>
      <c r="B210" s="265" t="s">
        <v>19</v>
      </c>
      <c r="C210" s="266">
        <v>17000</v>
      </c>
    </row>
    <row r="211" spans="1:3" ht="12.75">
      <c r="A211" s="267">
        <v>33451</v>
      </c>
      <c r="B211" s="265" t="s">
        <v>19</v>
      </c>
      <c r="C211" s="266">
        <v>17000</v>
      </c>
    </row>
    <row r="212" spans="1:3" ht="12.75">
      <c r="A212" s="267">
        <v>33482</v>
      </c>
      <c r="B212" s="265" t="s">
        <v>19</v>
      </c>
      <c r="C212" s="266">
        <v>42000</v>
      </c>
    </row>
    <row r="213" spans="1:3" ht="12.75">
      <c r="A213" s="267">
        <v>33512</v>
      </c>
      <c r="B213" s="265" t="s">
        <v>19</v>
      </c>
      <c r="C213" s="266">
        <v>42000</v>
      </c>
    </row>
    <row r="214" spans="1:3" ht="12.75">
      <c r="A214" s="267">
        <v>33543</v>
      </c>
      <c r="B214" s="265" t="s">
        <v>19</v>
      </c>
      <c r="C214" s="266">
        <v>42000</v>
      </c>
    </row>
    <row r="215" spans="1:3" ht="12.75">
      <c r="A215" s="267">
        <v>33573</v>
      </c>
      <c r="B215" s="265" t="s">
        <v>19</v>
      </c>
      <c r="C215" s="266">
        <v>42000</v>
      </c>
    </row>
    <row r="216" spans="1:3" ht="12.75">
      <c r="A216" s="267">
        <v>33604</v>
      </c>
      <c r="B216" s="265" t="s">
        <v>19</v>
      </c>
      <c r="C216" s="266">
        <v>96037.33</v>
      </c>
    </row>
    <row r="217" spans="1:3" ht="12.75">
      <c r="A217" s="267">
        <v>33635</v>
      </c>
      <c r="B217" s="265" t="s">
        <v>19</v>
      </c>
      <c r="C217" s="266">
        <v>96037.33</v>
      </c>
    </row>
    <row r="218" spans="1:3" ht="12.75">
      <c r="A218" s="267">
        <v>33664</v>
      </c>
      <c r="B218" s="265" t="s">
        <v>19</v>
      </c>
      <c r="C218" s="266">
        <v>96037.33</v>
      </c>
    </row>
    <row r="219" spans="1:3" ht="12.75">
      <c r="A219" s="267">
        <v>33695</v>
      </c>
      <c r="B219" s="265" t="s">
        <v>19</v>
      </c>
      <c r="C219" s="266">
        <v>96037.33</v>
      </c>
    </row>
    <row r="220" spans="1:3" ht="12.75">
      <c r="A220" s="267">
        <v>33725</v>
      </c>
      <c r="B220" s="265" t="s">
        <v>19</v>
      </c>
      <c r="C220" s="266">
        <v>230000</v>
      </c>
    </row>
    <row r="221" spans="1:3" ht="12.75">
      <c r="A221" s="267">
        <v>33756</v>
      </c>
      <c r="B221" s="265" t="s">
        <v>19</v>
      </c>
      <c r="C221" s="266">
        <v>230000</v>
      </c>
    </row>
    <row r="222" spans="1:3" ht="12.75">
      <c r="A222" s="267">
        <v>33786</v>
      </c>
      <c r="B222" s="265" t="s">
        <v>19</v>
      </c>
      <c r="C222" s="266">
        <v>230000</v>
      </c>
    </row>
    <row r="223" spans="1:3" ht="12.75">
      <c r="A223" s="267">
        <v>33817</v>
      </c>
      <c r="B223" s="265" t="s">
        <v>19</v>
      </c>
      <c r="C223" s="266">
        <v>230000</v>
      </c>
    </row>
    <row r="224" spans="1:3" ht="12.75">
      <c r="A224" s="267">
        <v>33848</v>
      </c>
      <c r="B224" s="265" t="s">
        <v>19</v>
      </c>
      <c r="C224" s="266">
        <v>522188.94</v>
      </c>
    </row>
    <row r="225" spans="1:3" ht="12.75">
      <c r="A225" s="267">
        <v>33878</v>
      </c>
      <c r="B225" s="265" t="s">
        <v>19</v>
      </c>
      <c r="C225" s="266">
        <v>522188.94</v>
      </c>
    </row>
    <row r="226" spans="1:3" ht="12.75">
      <c r="A226" s="267">
        <v>33909</v>
      </c>
      <c r="B226" s="265" t="s">
        <v>19</v>
      </c>
      <c r="C226" s="266">
        <v>522188.94</v>
      </c>
    </row>
    <row r="227" spans="1:3" ht="12.75">
      <c r="A227" s="267">
        <v>33939</v>
      </c>
      <c r="B227" s="265" t="s">
        <v>19</v>
      </c>
      <c r="C227" s="266">
        <v>522188.94</v>
      </c>
    </row>
    <row r="228" spans="1:3" ht="12.75">
      <c r="A228" s="267">
        <v>33970</v>
      </c>
      <c r="B228" s="265" t="s">
        <v>19</v>
      </c>
      <c r="C228" s="266">
        <v>1250700</v>
      </c>
    </row>
    <row r="229" spans="1:3" ht="12.75">
      <c r="A229" s="267">
        <v>34001</v>
      </c>
      <c r="B229" s="265" t="s">
        <v>19</v>
      </c>
      <c r="C229" s="266">
        <v>1250700</v>
      </c>
    </row>
    <row r="230" spans="1:3" ht="12.75">
      <c r="A230" s="267">
        <v>34029</v>
      </c>
      <c r="B230" s="265" t="s">
        <v>19</v>
      </c>
      <c r="C230" s="266">
        <v>1709400</v>
      </c>
    </row>
    <row r="231" spans="1:3" ht="12.75">
      <c r="A231" s="267">
        <v>34060</v>
      </c>
      <c r="B231" s="265" t="s">
        <v>19</v>
      </c>
      <c r="C231" s="266">
        <v>1709400</v>
      </c>
    </row>
    <row r="232" spans="1:3" ht="12.75">
      <c r="A232" s="267">
        <v>34090</v>
      </c>
      <c r="B232" s="265" t="s">
        <v>19</v>
      </c>
      <c r="C232" s="266">
        <v>3303300</v>
      </c>
    </row>
    <row r="233" spans="1:3" ht="12.75">
      <c r="A233" s="267">
        <v>34121</v>
      </c>
      <c r="B233" s="265" t="s">
        <v>19</v>
      </c>
      <c r="C233" s="266">
        <v>3303300</v>
      </c>
    </row>
    <row r="234" spans="1:3" ht="12.75">
      <c r="A234" s="267">
        <v>34151</v>
      </c>
      <c r="B234" s="265" t="s">
        <v>19</v>
      </c>
      <c r="C234" s="266">
        <v>4639800</v>
      </c>
    </row>
    <row r="235" spans="1:3" ht="12.75">
      <c r="A235" s="267">
        <v>34182</v>
      </c>
      <c r="B235" s="265" t="s">
        <v>20</v>
      </c>
      <c r="C235" s="266">
        <v>5534</v>
      </c>
    </row>
    <row r="236" spans="1:3" ht="12.75">
      <c r="A236" s="267">
        <v>34213</v>
      </c>
      <c r="B236" s="265" t="s">
        <v>20</v>
      </c>
      <c r="C236" s="266">
        <v>9606</v>
      </c>
    </row>
    <row r="237" spans="1:3" ht="12.75">
      <c r="A237" s="267">
        <v>34243</v>
      </c>
      <c r="B237" s="265" t="s">
        <v>20</v>
      </c>
      <c r="C237" s="266">
        <v>12024</v>
      </c>
    </row>
    <row r="238" spans="1:3" ht="12.75">
      <c r="A238" s="267">
        <v>34274</v>
      </c>
      <c r="B238" s="265" t="s">
        <v>20</v>
      </c>
      <c r="C238" s="266">
        <v>15021</v>
      </c>
    </row>
    <row r="239" spans="1:3" ht="12.75">
      <c r="A239" s="267">
        <v>34304</v>
      </c>
      <c r="B239" s="265" t="s">
        <v>20</v>
      </c>
      <c r="C239" s="266">
        <v>18760</v>
      </c>
    </row>
    <row r="240" spans="1:3" ht="12.75">
      <c r="A240" s="267">
        <v>34335</v>
      </c>
      <c r="B240" s="265" t="s">
        <v>20</v>
      </c>
      <c r="C240" s="266">
        <v>32882</v>
      </c>
    </row>
    <row r="241" spans="1:3" ht="12.75">
      <c r="A241" s="267">
        <v>34366</v>
      </c>
      <c r="B241" s="265" t="s">
        <v>20</v>
      </c>
      <c r="C241" s="266">
        <v>42829</v>
      </c>
    </row>
    <row r="242" spans="1:3" ht="12.75">
      <c r="A242" s="267">
        <v>34394</v>
      </c>
      <c r="B242" s="265" t="s">
        <v>303</v>
      </c>
      <c r="C242" s="266">
        <f>64.79*931.05</f>
        <v>60322.7295</v>
      </c>
    </row>
    <row r="243" spans="1:3" ht="12.75">
      <c r="A243" s="267">
        <v>34425</v>
      </c>
      <c r="B243" s="265" t="s">
        <v>303</v>
      </c>
      <c r="C243" s="266">
        <f>64.79*1323.92</f>
        <v>85776.7768</v>
      </c>
    </row>
    <row r="244" spans="1:3" ht="12.75">
      <c r="A244" s="267">
        <v>34455</v>
      </c>
      <c r="B244" s="265" t="s">
        <v>303</v>
      </c>
      <c r="C244" s="266">
        <f>64.79*1875.82</f>
        <v>121534.3778</v>
      </c>
    </row>
    <row r="245" spans="1:3" ht="12.75">
      <c r="A245" s="267">
        <v>34486</v>
      </c>
      <c r="B245" s="265" t="s">
        <v>303</v>
      </c>
      <c r="C245" s="266">
        <f>64.79*2750</f>
        <v>178172.50000000003</v>
      </c>
    </row>
    <row r="246" spans="1:3" ht="12.75">
      <c r="A246" s="267">
        <v>34516</v>
      </c>
      <c r="B246" s="265" t="s">
        <v>28</v>
      </c>
      <c r="C246" s="266">
        <v>64.79</v>
      </c>
    </row>
    <row r="247" spans="1:3" ht="12.75">
      <c r="A247" s="267">
        <v>34547</v>
      </c>
      <c r="B247" s="265" t="s">
        <v>28</v>
      </c>
      <c r="C247" s="266">
        <v>64.79</v>
      </c>
    </row>
    <row r="248" spans="1:3" ht="12.75">
      <c r="A248" s="267">
        <v>34578</v>
      </c>
      <c r="B248" s="265" t="s">
        <v>28</v>
      </c>
      <c r="C248" s="266">
        <v>70</v>
      </c>
    </row>
    <row r="249" spans="1:3" ht="12.75">
      <c r="A249" s="267">
        <v>34608</v>
      </c>
      <c r="B249" s="265" t="s">
        <v>28</v>
      </c>
      <c r="C249" s="266">
        <v>70</v>
      </c>
    </row>
    <row r="250" spans="1:3" ht="12.75">
      <c r="A250" s="267">
        <v>34639</v>
      </c>
      <c r="B250" s="265" t="s">
        <v>28</v>
      </c>
      <c r="C250" s="266">
        <v>70</v>
      </c>
    </row>
    <row r="251" spans="1:3" ht="12.75">
      <c r="A251" s="267">
        <v>34669</v>
      </c>
      <c r="B251" s="265" t="s">
        <v>28</v>
      </c>
      <c r="C251" s="266">
        <v>70</v>
      </c>
    </row>
    <row r="252" spans="1:3" ht="12.75">
      <c r="A252" s="267">
        <v>34700</v>
      </c>
      <c r="B252" s="265" t="s">
        <v>28</v>
      </c>
      <c r="C252" s="266">
        <v>70</v>
      </c>
    </row>
    <row r="253" spans="1:3" ht="12.75">
      <c r="A253" s="267">
        <v>34731</v>
      </c>
      <c r="B253" s="265" t="s">
        <v>28</v>
      </c>
      <c r="C253" s="266">
        <v>70</v>
      </c>
    </row>
    <row r="254" spans="1:3" ht="12.75">
      <c r="A254" s="267">
        <v>34759</v>
      </c>
      <c r="B254" s="265" t="s">
        <v>28</v>
      </c>
      <c r="C254" s="266">
        <v>70</v>
      </c>
    </row>
    <row r="255" spans="1:3" ht="12.75">
      <c r="A255" s="267">
        <v>34790</v>
      </c>
      <c r="B255" s="265" t="s">
        <v>28</v>
      </c>
      <c r="C255" s="266">
        <v>70</v>
      </c>
    </row>
    <row r="256" spans="1:3" ht="12.75">
      <c r="A256" s="267">
        <v>34820</v>
      </c>
      <c r="B256" s="265" t="s">
        <v>28</v>
      </c>
      <c r="C256" s="266">
        <v>100</v>
      </c>
    </row>
    <row r="257" spans="1:3" ht="12.75">
      <c r="A257" s="267">
        <v>34851</v>
      </c>
      <c r="B257" s="265" t="s">
        <v>28</v>
      </c>
      <c r="C257" s="266">
        <v>100</v>
      </c>
    </row>
    <row r="258" spans="1:3" ht="12.75">
      <c r="A258" s="267">
        <v>34881</v>
      </c>
      <c r="B258" s="265" t="s">
        <v>28</v>
      </c>
      <c r="C258" s="266">
        <v>100</v>
      </c>
    </row>
    <row r="259" spans="1:3" ht="12.75">
      <c r="A259" s="267">
        <v>34912</v>
      </c>
      <c r="B259" s="265" t="s">
        <v>28</v>
      </c>
      <c r="C259" s="266">
        <v>100</v>
      </c>
    </row>
    <row r="260" spans="1:3" ht="12.75">
      <c r="A260" s="267">
        <v>34943</v>
      </c>
      <c r="B260" s="265" t="s">
        <v>28</v>
      </c>
      <c r="C260" s="266">
        <v>100</v>
      </c>
    </row>
    <row r="261" spans="1:3" ht="12.75">
      <c r="A261" s="267">
        <v>34973</v>
      </c>
      <c r="B261" s="265" t="s">
        <v>28</v>
      </c>
      <c r="C261" s="266">
        <v>100</v>
      </c>
    </row>
    <row r="262" spans="1:3" ht="12.75">
      <c r="A262" s="267">
        <v>35004</v>
      </c>
      <c r="B262" s="265" t="s">
        <v>28</v>
      </c>
      <c r="C262" s="266">
        <v>100</v>
      </c>
    </row>
    <row r="263" spans="1:3" ht="12.75">
      <c r="A263" s="267">
        <v>35034</v>
      </c>
      <c r="B263" s="265" t="s">
        <v>28</v>
      </c>
      <c r="C263" s="266">
        <v>100</v>
      </c>
    </row>
    <row r="264" spans="1:3" ht="12.75">
      <c r="A264" s="267">
        <v>35065</v>
      </c>
      <c r="B264" s="265" t="s">
        <v>28</v>
      </c>
      <c r="C264" s="266">
        <v>100</v>
      </c>
    </row>
    <row r="265" spans="1:3" ht="12.75">
      <c r="A265" s="267">
        <v>35096</v>
      </c>
      <c r="B265" s="265" t="s">
        <v>28</v>
      </c>
      <c r="C265" s="266">
        <v>100</v>
      </c>
    </row>
    <row r="266" spans="1:3" ht="12.75">
      <c r="A266" s="267">
        <v>35125</v>
      </c>
      <c r="B266" s="265" t="s">
        <v>28</v>
      </c>
      <c r="C266" s="266">
        <v>100</v>
      </c>
    </row>
    <row r="267" spans="1:3" ht="12.75">
      <c r="A267" s="267">
        <v>35156</v>
      </c>
      <c r="B267" s="265" t="s">
        <v>28</v>
      </c>
      <c r="C267" s="266">
        <v>100</v>
      </c>
    </row>
    <row r="268" spans="1:3" ht="12.75">
      <c r="A268" s="267">
        <v>35186</v>
      </c>
      <c r="B268" s="265" t="s">
        <v>28</v>
      </c>
      <c r="C268" s="266">
        <v>112</v>
      </c>
    </row>
    <row r="269" spans="1:3" ht="12.75">
      <c r="A269" s="267">
        <v>35217</v>
      </c>
      <c r="B269" s="265" t="s">
        <v>28</v>
      </c>
      <c r="C269" s="266">
        <v>112</v>
      </c>
    </row>
    <row r="270" spans="1:3" ht="12.75">
      <c r="A270" s="267">
        <v>35247</v>
      </c>
      <c r="B270" s="265" t="s">
        <v>28</v>
      </c>
      <c r="C270" s="266">
        <v>112</v>
      </c>
    </row>
    <row r="271" spans="1:3" ht="12.75">
      <c r="A271" s="267">
        <v>35278</v>
      </c>
      <c r="B271" s="265" t="s">
        <v>28</v>
      </c>
      <c r="C271" s="266">
        <v>112</v>
      </c>
    </row>
    <row r="272" spans="1:3" ht="12.75">
      <c r="A272" s="267">
        <v>35309</v>
      </c>
      <c r="B272" s="265" t="s">
        <v>28</v>
      </c>
      <c r="C272" s="266">
        <v>112</v>
      </c>
    </row>
    <row r="273" spans="1:3" ht="12.75">
      <c r="A273" s="267">
        <v>35339</v>
      </c>
      <c r="B273" s="265" t="s">
        <v>28</v>
      </c>
      <c r="C273" s="266">
        <v>112</v>
      </c>
    </row>
    <row r="274" spans="1:3" ht="12.75">
      <c r="A274" s="267">
        <v>35370</v>
      </c>
      <c r="B274" s="265" t="s">
        <v>28</v>
      </c>
      <c r="C274" s="266">
        <v>112</v>
      </c>
    </row>
    <row r="275" spans="1:3" ht="12.75">
      <c r="A275" s="267">
        <v>35400</v>
      </c>
      <c r="B275" s="265" t="s">
        <v>28</v>
      </c>
      <c r="C275" s="266">
        <v>112</v>
      </c>
    </row>
    <row r="276" spans="1:3" ht="12.75">
      <c r="A276" s="267">
        <v>35431</v>
      </c>
      <c r="B276" s="265" t="s">
        <v>28</v>
      </c>
      <c r="C276" s="266">
        <v>112</v>
      </c>
    </row>
    <row r="277" spans="1:3" ht="12.75">
      <c r="A277" s="267">
        <v>35462</v>
      </c>
      <c r="B277" s="265" t="s">
        <v>28</v>
      </c>
      <c r="C277" s="266">
        <v>112</v>
      </c>
    </row>
    <row r="278" spans="1:3" ht="12.75">
      <c r="A278" s="267">
        <v>35490</v>
      </c>
      <c r="B278" s="265" t="s">
        <v>28</v>
      </c>
      <c r="C278" s="266">
        <v>112</v>
      </c>
    </row>
    <row r="279" spans="1:3" ht="12.75">
      <c r="A279" s="267">
        <v>35521</v>
      </c>
      <c r="B279" s="265" t="s">
        <v>28</v>
      </c>
      <c r="C279" s="266">
        <v>112</v>
      </c>
    </row>
    <row r="280" spans="1:3" ht="12.75">
      <c r="A280" s="267">
        <v>35551</v>
      </c>
      <c r="B280" s="265" t="s">
        <v>28</v>
      </c>
      <c r="C280" s="266">
        <v>120</v>
      </c>
    </row>
    <row r="281" spans="1:3" ht="12.75">
      <c r="A281" s="267">
        <v>35582</v>
      </c>
      <c r="B281" s="265" t="s">
        <v>28</v>
      </c>
      <c r="C281" s="266">
        <v>120</v>
      </c>
    </row>
    <row r="282" spans="1:3" ht="12.75">
      <c r="A282" s="267">
        <v>35612</v>
      </c>
      <c r="B282" s="265" t="s">
        <v>28</v>
      </c>
      <c r="C282" s="266">
        <v>120</v>
      </c>
    </row>
    <row r="283" spans="1:3" ht="12.75">
      <c r="A283" s="267">
        <v>35643</v>
      </c>
      <c r="B283" s="265" t="s">
        <v>28</v>
      </c>
      <c r="C283" s="266">
        <v>120</v>
      </c>
    </row>
    <row r="284" spans="1:3" ht="12.75">
      <c r="A284" s="267">
        <v>35674</v>
      </c>
      <c r="B284" s="265" t="s">
        <v>28</v>
      </c>
      <c r="C284" s="266">
        <v>120</v>
      </c>
    </row>
    <row r="285" spans="1:3" ht="12.75">
      <c r="A285" s="267">
        <v>35704</v>
      </c>
      <c r="B285" s="265" t="s">
        <v>28</v>
      </c>
      <c r="C285" s="266">
        <v>120</v>
      </c>
    </row>
    <row r="286" spans="1:3" ht="12.75">
      <c r="A286" s="267">
        <v>35735</v>
      </c>
      <c r="B286" s="265" t="s">
        <v>28</v>
      </c>
      <c r="C286" s="266">
        <v>120</v>
      </c>
    </row>
    <row r="287" spans="1:3" ht="12.75">
      <c r="A287" s="267">
        <v>35765</v>
      </c>
      <c r="B287" s="265" t="s">
        <v>28</v>
      </c>
      <c r="C287" s="266">
        <v>120</v>
      </c>
    </row>
    <row r="288" spans="1:3" ht="12.75">
      <c r="A288" s="267">
        <v>35796</v>
      </c>
      <c r="B288" s="265" t="s">
        <v>28</v>
      </c>
      <c r="C288" s="266">
        <v>120</v>
      </c>
    </row>
    <row r="289" spans="1:3" ht="12.75">
      <c r="A289" s="267">
        <v>35827</v>
      </c>
      <c r="B289" s="265" t="s">
        <v>28</v>
      </c>
      <c r="C289" s="266">
        <v>120</v>
      </c>
    </row>
    <row r="290" spans="1:3" ht="12.75">
      <c r="A290" s="267">
        <v>35855</v>
      </c>
      <c r="B290" s="265" t="s">
        <v>28</v>
      </c>
      <c r="C290" s="266">
        <v>120</v>
      </c>
    </row>
    <row r="291" spans="1:3" ht="12.75">
      <c r="A291" s="267">
        <v>35886</v>
      </c>
      <c r="B291" s="265" t="s">
        <v>28</v>
      </c>
      <c r="C291" s="266">
        <v>120</v>
      </c>
    </row>
    <row r="292" spans="1:3" ht="12.75">
      <c r="A292" s="267">
        <v>35916</v>
      </c>
      <c r="B292" s="265" t="s">
        <v>28</v>
      </c>
      <c r="C292" s="266">
        <v>130</v>
      </c>
    </row>
    <row r="293" spans="1:3" ht="12.75">
      <c r="A293" s="267">
        <v>35947</v>
      </c>
      <c r="B293" s="265" t="s">
        <v>28</v>
      </c>
      <c r="C293" s="266">
        <v>130</v>
      </c>
    </row>
    <row r="294" spans="1:3" ht="12.75">
      <c r="A294" s="267">
        <v>35977</v>
      </c>
      <c r="B294" s="265" t="s">
        <v>28</v>
      </c>
      <c r="C294" s="266">
        <v>130</v>
      </c>
    </row>
    <row r="295" spans="1:3" ht="12.75">
      <c r="A295" s="267">
        <v>36008</v>
      </c>
      <c r="B295" s="265" t="s">
        <v>28</v>
      </c>
      <c r="C295" s="266">
        <v>130</v>
      </c>
    </row>
    <row r="296" spans="1:3" ht="12.75">
      <c r="A296" s="267">
        <v>36039</v>
      </c>
      <c r="B296" s="265" t="s">
        <v>28</v>
      </c>
      <c r="C296" s="266">
        <v>130</v>
      </c>
    </row>
    <row r="297" spans="1:3" ht="12.75">
      <c r="A297" s="267">
        <v>36069</v>
      </c>
      <c r="B297" s="265" t="s">
        <v>28</v>
      </c>
      <c r="C297" s="266">
        <v>130</v>
      </c>
    </row>
    <row r="298" spans="1:3" ht="12.75">
      <c r="A298" s="267">
        <v>36100</v>
      </c>
      <c r="B298" s="265" t="s">
        <v>28</v>
      </c>
      <c r="C298" s="266">
        <v>130</v>
      </c>
    </row>
    <row r="299" spans="1:3" ht="12.75">
      <c r="A299" s="267">
        <v>36130</v>
      </c>
      <c r="B299" s="265" t="s">
        <v>28</v>
      </c>
      <c r="C299" s="266">
        <v>130</v>
      </c>
    </row>
    <row r="300" spans="1:3" ht="12.75">
      <c r="A300" s="267">
        <v>36161</v>
      </c>
      <c r="B300" s="265" t="s">
        <v>28</v>
      </c>
      <c r="C300" s="266">
        <v>130</v>
      </c>
    </row>
    <row r="301" spans="1:3" ht="12.75">
      <c r="A301" s="267">
        <v>36192</v>
      </c>
      <c r="B301" s="265" t="s">
        <v>28</v>
      </c>
      <c r="C301" s="266">
        <v>130</v>
      </c>
    </row>
    <row r="302" spans="1:3" ht="12.75">
      <c r="A302" s="267">
        <v>36220</v>
      </c>
      <c r="B302" s="265" t="s">
        <v>28</v>
      </c>
      <c r="C302" s="266">
        <v>130</v>
      </c>
    </row>
    <row r="303" spans="1:3" ht="12.75">
      <c r="A303" s="267">
        <v>36251</v>
      </c>
      <c r="B303" s="265" t="s">
        <v>28</v>
      </c>
      <c r="C303" s="266">
        <v>130</v>
      </c>
    </row>
    <row r="304" spans="1:3" ht="12.75">
      <c r="A304" s="267">
        <v>36281</v>
      </c>
      <c r="B304" s="265" t="s">
        <v>28</v>
      </c>
      <c r="C304" s="266">
        <v>136</v>
      </c>
    </row>
    <row r="305" spans="1:3" ht="12.75">
      <c r="A305" s="267">
        <v>36312</v>
      </c>
      <c r="B305" s="265" t="s">
        <v>28</v>
      </c>
      <c r="C305" s="266">
        <v>136</v>
      </c>
    </row>
    <row r="306" spans="1:3" ht="12.75">
      <c r="A306" s="267">
        <v>36342</v>
      </c>
      <c r="B306" s="265" t="s">
        <v>28</v>
      </c>
      <c r="C306" s="266">
        <v>136</v>
      </c>
    </row>
    <row r="307" spans="1:3" ht="12.75">
      <c r="A307" s="267">
        <v>36373</v>
      </c>
      <c r="B307" s="265" t="s">
        <v>28</v>
      </c>
      <c r="C307" s="266">
        <v>136</v>
      </c>
    </row>
    <row r="308" spans="1:3" ht="12.75">
      <c r="A308" s="267">
        <v>36404</v>
      </c>
      <c r="B308" s="265" t="s">
        <v>28</v>
      </c>
      <c r="C308" s="266">
        <v>136</v>
      </c>
    </row>
    <row r="309" spans="1:3" ht="12.75">
      <c r="A309" s="267">
        <v>36434</v>
      </c>
      <c r="B309" s="265" t="s">
        <v>28</v>
      </c>
      <c r="C309" s="266">
        <v>136</v>
      </c>
    </row>
    <row r="310" spans="1:3" ht="12.75">
      <c r="A310" s="267">
        <v>36465</v>
      </c>
      <c r="B310" s="265" t="s">
        <v>28</v>
      </c>
      <c r="C310" s="266">
        <v>136</v>
      </c>
    </row>
    <row r="311" spans="1:3" ht="12.75">
      <c r="A311" s="267">
        <v>36495</v>
      </c>
      <c r="B311" s="265" t="s">
        <v>28</v>
      </c>
      <c r="C311" s="266">
        <v>136</v>
      </c>
    </row>
    <row r="312" spans="1:3" ht="12.75">
      <c r="A312" s="267">
        <v>36526</v>
      </c>
      <c r="B312" s="265" t="s">
        <v>28</v>
      </c>
      <c r="C312" s="266">
        <v>136</v>
      </c>
    </row>
    <row r="313" spans="1:3" ht="12.75">
      <c r="A313" s="267">
        <v>36557</v>
      </c>
      <c r="B313" s="265" t="s">
        <v>28</v>
      </c>
      <c r="C313" s="266">
        <v>136</v>
      </c>
    </row>
    <row r="314" spans="1:3" ht="12.75">
      <c r="A314" s="267">
        <v>36586</v>
      </c>
      <c r="B314" s="265" t="s">
        <v>28</v>
      </c>
      <c r="C314" s="266">
        <v>136</v>
      </c>
    </row>
    <row r="315" spans="1:3" ht="12.75">
      <c r="A315" s="267">
        <v>36617</v>
      </c>
      <c r="B315" s="265" t="s">
        <v>28</v>
      </c>
      <c r="C315" s="266">
        <v>151</v>
      </c>
    </row>
    <row r="316" spans="1:3" ht="12.75">
      <c r="A316" s="267">
        <v>36647</v>
      </c>
      <c r="B316" s="265" t="s">
        <v>28</v>
      </c>
      <c r="C316" s="266">
        <v>151</v>
      </c>
    </row>
    <row r="317" spans="1:3" ht="12.75">
      <c r="A317" s="267">
        <v>36678</v>
      </c>
      <c r="B317" s="265" t="s">
        <v>28</v>
      </c>
      <c r="C317" s="266">
        <v>151</v>
      </c>
    </row>
    <row r="318" spans="1:3" ht="12.75">
      <c r="A318" s="267">
        <v>36708</v>
      </c>
      <c r="B318" s="265" t="s">
        <v>28</v>
      </c>
      <c r="C318" s="266">
        <v>151</v>
      </c>
    </row>
    <row r="319" spans="1:3" ht="12.75">
      <c r="A319" s="267">
        <v>36739</v>
      </c>
      <c r="B319" s="265" t="s">
        <v>28</v>
      </c>
      <c r="C319" s="266">
        <v>151</v>
      </c>
    </row>
    <row r="320" spans="1:3" ht="12.75">
      <c r="A320" s="267">
        <v>36770</v>
      </c>
      <c r="B320" s="265" t="s">
        <v>28</v>
      </c>
      <c r="C320" s="266">
        <v>151</v>
      </c>
    </row>
    <row r="321" spans="1:3" ht="12.75">
      <c r="A321" s="267">
        <v>36800</v>
      </c>
      <c r="B321" s="265" t="s">
        <v>28</v>
      </c>
      <c r="C321" s="266">
        <v>151</v>
      </c>
    </row>
    <row r="322" spans="1:3" ht="12.75">
      <c r="A322" s="267">
        <v>36831</v>
      </c>
      <c r="B322" s="265" t="s">
        <v>28</v>
      </c>
      <c r="C322" s="266">
        <v>151</v>
      </c>
    </row>
    <row r="323" spans="1:3" ht="12.75">
      <c r="A323" s="267">
        <v>36861</v>
      </c>
      <c r="B323" s="265" t="s">
        <v>28</v>
      </c>
      <c r="C323" s="266">
        <v>151</v>
      </c>
    </row>
    <row r="324" spans="1:3" ht="12.75">
      <c r="A324" s="267">
        <v>36892</v>
      </c>
      <c r="B324" s="265" t="s">
        <v>28</v>
      </c>
      <c r="C324" s="266">
        <v>151</v>
      </c>
    </row>
    <row r="325" spans="1:3" ht="12.75">
      <c r="A325" s="267">
        <v>36923</v>
      </c>
      <c r="B325" s="265" t="s">
        <v>28</v>
      </c>
      <c r="C325" s="266">
        <v>151</v>
      </c>
    </row>
    <row r="326" spans="1:3" ht="12.75">
      <c r="A326" s="267">
        <v>36951</v>
      </c>
      <c r="B326" s="265" t="s">
        <v>28</v>
      </c>
      <c r="C326" s="266">
        <v>151</v>
      </c>
    </row>
    <row r="327" spans="1:3" ht="12.75">
      <c r="A327" s="267">
        <v>36982</v>
      </c>
      <c r="B327" s="265" t="s">
        <v>28</v>
      </c>
      <c r="C327" s="266">
        <v>180</v>
      </c>
    </row>
    <row r="328" spans="1:3" ht="12.75">
      <c r="A328" s="267">
        <v>37012</v>
      </c>
      <c r="B328" s="265" t="s">
        <v>28</v>
      </c>
      <c r="C328" s="266">
        <v>180</v>
      </c>
    </row>
    <row r="329" spans="1:3" ht="12.75">
      <c r="A329" s="267">
        <v>37043</v>
      </c>
      <c r="B329" s="265" t="s">
        <v>28</v>
      </c>
      <c r="C329" s="266">
        <v>180</v>
      </c>
    </row>
    <row r="330" spans="1:3" ht="12.75">
      <c r="A330" s="267">
        <v>37073</v>
      </c>
      <c r="B330" s="265" t="s">
        <v>28</v>
      </c>
      <c r="C330" s="266">
        <v>180</v>
      </c>
    </row>
    <row r="331" spans="1:3" ht="12.75">
      <c r="A331" s="267">
        <v>37104</v>
      </c>
      <c r="B331" s="265" t="s">
        <v>28</v>
      </c>
      <c r="C331" s="266">
        <v>180</v>
      </c>
    </row>
    <row r="332" spans="1:3" ht="12.75">
      <c r="A332" s="267">
        <v>37135</v>
      </c>
      <c r="B332" s="265" t="s">
        <v>28</v>
      </c>
      <c r="C332" s="266">
        <v>180</v>
      </c>
    </row>
    <row r="333" spans="1:3" ht="12.75">
      <c r="A333" s="267">
        <v>37165</v>
      </c>
      <c r="B333" s="265" t="s">
        <v>28</v>
      </c>
      <c r="C333" s="266">
        <v>180</v>
      </c>
    </row>
    <row r="334" spans="1:3" ht="12.75">
      <c r="A334" s="267">
        <v>37196</v>
      </c>
      <c r="B334" s="265" t="s">
        <v>28</v>
      </c>
      <c r="C334" s="266">
        <v>180</v>
      </c>
    </row>
    <row r="335" spans="1:3" ht="12.75">
      <c r="A335" s="267">
        <v>37226</v>
      </c>
      <c r="B335" s="265" t="s">
        <v>28</v>
      </c>
      <c r="C335" s="266">
        <v>180</v>
      </c>
    </row>
    <row r="336" spans="1:3" ht="12.75">
      <c r="A336" s="267">
        <v>37257</v>
      </c>
      <c r="B336" s="265" t="s">
        <v>28</v>
      </c>
      <c r="C336" s="266">
        <v>180</v>
      </c>
    </row>
    <row r="337" spans="1:3" ht="12.75">
      <c r="A337" s="267">
        <v>37288</v>
      </c>
      <c r="B337" s="265" t="s">
        <v>28</v>
      </c>
      <c r="C337" s="266">
        <v>180</v>
      </c>
    </row>
    <row r="338" spans="1:3" ht="12.75">
      <c r="A338" s="267">
        <v>37316</v>
      </c>
      <c r="B338" s="265" t="s">
        <v>28</v>
      </c>
      <c r="C338" s="266">
        <v>180</v>
      </c>
    </row>
    <row r="339" spans="1:3" ht="12.75">
      <c r="A339" s="267">
        <v>37347</v>
      </c>
      <c r="B339" s="265" t="s">
        <v>28</v>
      </c>
      <c r="C339" s="266">
        <v>200</v>
      </c>
    </row>
    <row r="340" spans="1:3" ht="12.75">
      <c r="A340" s="267">
        <v>37377</v>
      </c>
      <c r="B340" s="265" t="s">
        <v>28</v>
      </c>
      <c r="C340" s="266">
        <v>200</v>
      </c>
    </row>
    <row r="341" spans="1:3" ht="12.75">
      <c r="A341" s="267">
        <v>37408</v>
      </c>
      <c r="B341" s="265" t="s">
        <v>28</v>
      </c>
      <c r="C341" s="266">
        <v>200</v>
      </c>
    </row>
    <row r="342" spans="1:3" ht="12.75">
      <c r="A342" s="267">
        <v>37438</v>
      </c>
      <c r="B342" s="265" t="s">
        <v>28</v>
      </c>
      <c r="C342" s="266">
        <v>200</v>
      </c>
    </row>
    <row r="343" spans="1:3" ht="12.75">
      <c r="A343" s="267">
        <v>37469</v>
      </c>
      <c r="B343" s="265" t="s">
        <v>28</v>
      </c>
      <c r="C343" s="266">
        <v>200</v>
      </c>
    </row>
    <row r="344" spans="1:3" ht="12.75">
      <c r="A344" s="267">
        <v>37500</v>
      </c>
      <c r="B344" s="265" t="s">
        <v>28</v>
      </c>
      <c r="C344" s="266">
        <v>200</v>
      </c>
    </row>
    <row r="345" spans="1:3" ht="12.75">
      <c r="A345" s="267">
        <v>37530</v>
      </c>
      <c r="B345" s="265" t="s">
        <v>28</v>
      </c>
      <c r="C345" s="266">
        <v>200</v>
      </c>
    </row>
    <row r="346" spans="1:3" ht="12.75">
      <c r="A346" s="267">
        <v>37561</v>
      </c>
      <c r="B346" s="265" t="s">
        <v>28</v>
      </c>
      <c r="C346" s="266">
        <v>200</v>
      </c>
    </row>
    <row r="347" spans="1:3" ht="12.75">
      <c r="A347" s="267">
        <v>37591</v>
      </c>
      <c r="B347" s="265" t="s">
        <v>28</v>
      </c>
      <c r="C347" s="266">
        <v>200</v>
      </c>
    </row>
    <row r="348" spans="1:3" ht="12.75">
      <c r="A348" s="267">
        <v>37622</v>
      </c>
      <c r="B348" s="265" t="s">
        <v>28</v>
      </c>
      <c r="C348" s="266">
        <v>200</v>
      </c>
    </row>
    <row r="349" spans="1:3" ht="12.75">
      <c r="A349" s="267">
        <v>37653</v>
      </c>
      <c r="B349" s="265" t="s">
        <v>28</v>
      </c>
      <c r="C349" s="266">
        <v>200</v>
      </c>
    </row>
    <row r="350" spans="1:3" ht="12.75">
      <c r="A350" s="267">
        <v>37681</v>
      </c>
      <c r="B350" s="265" t="s">
        <v>28</v>
      </c>
      <c r="C350" s="266">
        <v>200</v>
      </c>
    </row>
    <row r="351" spans="1:3" ht="12.75">
      <c r="A351" s="267">
        <v>37712</v>
      </c>
      <c r="B351" s="265" t="s">
        <v>28</v>
      </c>
      <c r="C351" s="266">
        <v>240</v>
      </c>
    </row>
    <row r="352" spans="1:3" ht="12.75">
      <c r="A352" s="267">
        <v>37742</v>
      </c>
      <c r="B352" s="265" t="s">
        <v>28</v>
      </c>
      <c r="C352" s="266">
        <v>240</v>
      </c>
    </row>
    <row r="353" spans="1:3" ht="12.75">
      <c r="A353" s="267">
        <v>37773</v>
      </c>
      <c r="B353" s="265" t="s">
        <v>28</v>
      </c>
      <c r="C353" s="266">
        <v>240</v>
      </c>
    </row>
    <row r="354" spans="1:3" ht="12.75">
      <c r="A354" s="267">
        <v>37803</v>
      </c>
      <c r="B354" s="265" t="s">
        <v>28</v>
      </c>
      <c r="C354" s="266">
        <v>240</v>
      </c>
    </row>
    <row r="355" spans="1:3" ht="12.75">
      <c r="A355" s="267">
        <v>37834</v>
      </c>
      <c r="B355" s="265" t="s">
        <v>28</v>
      </c>
      <c r="C355" s="266">
        <v>240</v>
      </c>
    </row>
    <row r="356" spans="1:3" ht="12.75">
      <c r="A356" s="267">
        <v>37865</v>
      </c>
      <c r="B356" s="265" t="s">
        <v>28</v>
      </c>
      <c r="C356" s="266">
        <v>240</v>
      </c>
    </row>
    <row r="357" spans="1:3" ht="12.75">
      <c r="A357" s="267">
        <v>37895</v>
      </c>
      <c r="B357" s="265" t="s">
        <v>28</v>
      </c>
      <c r="C357" s="266">
        <v>240</v>
      </c>
    </row>
    <row r="358" spans="1:3" ht="12.75">
      <c r="A358" s="267">
        <v>37926</v>
      </c>
      <c r="B358" s="265" t="s">
        <v>28</v>
      </c>
      <c r="C358" s="266">
        <v>240</v>
      </c>
    </row>
    <row r="359" spans="1:3" ht="12.75">
      <c r="A359" s="267">
        <v>37956</v>
      </c>
      <c r="B359" s="265" t="s">
        <v>28</v>
      </c>
      <c r="C359" s="266">
        <v>240</v>
      </c>
    </row>
    <row r="360" spans="1:3" ht="12.75">
      <c r="A360" s="267">
        <v>37987</v>
      </c>
      <c r="B360" s="265" t="s">
        <v>28</v>
      </c>
      <c r="C360" s="266">
        <v>240</v>
      </c>
    </row>
    <row r="361" spans="1:3" ht="12.75">
      <c r="A361" s="267">
        <v>38018</v>
      </c>
      <c r="B361" s="265" t="s">
        <v>28</v>
      </c>
      <c r="C361" s="266">
        <v>240</v>
      </c>
    </row>
    <row r="362" spans="1:3" ht="12.75">
      <c r="A362" s="267">
        <v>38047</v>
      </c>
      <c r="B362" s="265" t="s">
        <v>28</v>
      </c>
      <c r="C362" s="266">
        <v>240</v>
      </c>
    </row>
    <row r="363" spans="1:3" ht="12.75">
      <c r="A363" s="267">
        <v>38078</v>
      </c>
      <c r="B363" s="265" t="s">
        <v>28</v>
      </c>
      <c r="C363" s="266">
        <v>260</v>
      </c>
    </row>
    <row r="364" spans="1:3" ht="12.75">
      <c r="A364" s="267">
        <v>38108</v>
      </c>
      <c r="B364" s="265" t="s">
        <v>28</v>
      </c>
      <c r="C364" s="266">
        <v>260</v>
      </c>
    </row>
    <row r="365" spans="1:3" ht="12.75">
      <c r="A365" s="267">
        <v>38139</v>
      </c>
      <c r="B365" s="265" t="s">
        <v>28</v>
      </c>
      <c r="C365" s="266">
        <v>260</v>
      </c>
    </row>
    <row r="366" spans="1:3" ht="12.75">
      <c r="A366" s="267">
        <v>38169</v>
      </c>
      <c r="B366" s="265" t="s">
        <v>28</v>
      </c>
      <c r="C366" s="266">
        <v>260</v>
      </c>
    </row>
    <row r="367" spans="1:3" ht="12.75">
      <c r="A367" s="267">
        <v>38200</v>
      </c>
      <c r="B367" s="265" t="s">
        <v>28</v>
      </c>
      <c r="C367" s="266">
        <v>260</v>
      </c>
    </row>
    <row r="368" spans="1:3" ht="12.75">
      <c r="A368" s="267">
        <v>38231</v>
      </c>
      <c r="B368" s="265" t="s">
        <v>28</v>
      </c>
      <c r="C368" s="266">
        <v>260</v>
      </c>
    </row>
    <row r="369" spans="1:3" ht="12.75">
      <c r="A369" s="267">
        <v>38261</v>
      </c>
      <c r="B369" s="265" t="s">
        <v>28</v>
      </c>
      <c r="C369" s="266">
        <v>260</v>
      </c>
    </row>
    <row r="370" spans="1:3" ht="12.75">
      <c r="A370" s="267">
        <v>38292</v>
      </c>
      <c r="B370" s="265" t="s">
        <v>28</v>
      </c>
      <c r="C370" s="266">
        <v>260</v>
      </c>
    </row>
    <row r="371" spans="1:3" ht="12.75">
      <c r="A371" s="267">
        <v>38322</v>
      </c>
      <c r="B371" s="265" t="s">
        <v>28</v>
      </c>
      <c r="C371" s="266">
        <v>260</v>
      </c>
    </row>
    <row r="372" spans="1:3" ht="12.75">
      <c r="A372" s="267">
        <v>38353</v>
      </c>
      <c r="B372" s="265" t="s">
        <v>28</v>
      </c>
      <c r="C372" s="266">
        <v>260</v>
      </c>
    </row>
    <row r="373" spans="1:3" ht="12.75">
      <c r="A373" s="267">
        <v>38384</v>
      </c>
      <c r="B373" s="265" t="s">
        <v>28</v>
      </c>
      <c r="C373" s="266">
        <v>260</v>
      </c>
    </row>
    <row r="374" spans="1:3" ht="12.75">
      <c r="A374" s="267">
        <v>38412</v>
      </c>
      <c r="B374" s="265" t="s">
        <v>28</v>
      </c>
      <c r="C374" s="266">
        <v>260</v>
      </c>
    </row>
    <row r="375" spans="1:3" ht="12.75">
      <c r="A375" s="267">
        <v>38443</v>
      </c>
      <c r="B375" s="265" t="s">
        <v>28</v>
      </c>
      <c r="C375" s="266">
        <v>260</v>
      </c>
    </row>
    <row r="376" spans="1:3" ht="12.75">
      <c r="A376" s="267">
        <v>38473</v>
      </c>
      <c r="B376" s="265" t="s">
        <v>28</v>
      </c>
      <c r="C376" s="266">
        <v>300</v>
      </c>
    </row>
    <row r="377" spans="1:3" ht="12.75">
      <c r="A377" s="267">
        <v>38838</v>
      </c>
      <c r="B377" s="265" t="s">
        <v>28</v>
      </c>
      <c r="C377" s="266">
        <v>350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="110" zoomScaleNormal="110" workbookViewId="0" topLeftCell="G7">
      <selection activeCell="J1" sqref="J1:P34"/>
    </sheetView>
  </sheetViews>
  <sheetFormatPr defaultColWidth="9.140625" defaultRowHeight="12.75"/>
  <cols>
    <col min="1" max="1" width="3.28125" style="6" bestFit="1" customWidth="1"/>
    <col min="2" max="2" width="9.421875" style="0" customWidth="1"/>
    <col min="3" max="3" width="12.28125" style="0" customWidth="1"/>
    <col min="4" max="4" width="14.7109375" style="0" customWidth="1"/>
    <col min="5" max="5" width="15.57421875" style="0" customWidth="1"/>
    <col min="6" max="6" width="12.28125" style="0" customWidth="1"/>
    <col min="7" max="7" width="13.140625" style="0" customWidth="1"/>
    <col min="8" max="8" width="10.57421875" style="0" customWidth="1"/>
    <col min="9" max="9" width="1.8515625" style="60" customWidth="1"/>
    <col min="10" max="10" width="3.28125" style="2" customWidth="1"/>
    <col min="11" max="11" width="10.140625" style="63" customWidth="1"/>
    <col min="12" max="12" width="12.28125" style="0" customWidth="1"/>
    <col min="13" max="13" width="13.7109375" style="0" customWidth="1"/>
    <col min="14" max="14" width="12.140625" style="0" customWidth="1"/>
    <col min="15" max="15" width="17.28125" style="0" customWidth="1"/>
    <col min="16" max="16" width="19.57421875" style="0" customWidth="1"/>
    <col min="17" max="17" width="3.00390625" style="2" customWidth="1"/>
    <col min="18" max="18" width="10.140625" style="0" customWidth="1"/>
    <col min="19" max="19" width="14.140625" style="0" customWidth="1"/>
    <col min="20" max="20" width="15.140625" style="0" customWidth="1"/>
    <col min="21" max="21" width="12.421875" style="0" bestFit="1" customWidth="1"/>
    <col min="22" max="22" width="16.140625" style="0" customWidth="1"/>
    <col min="23" max="23" width="11.7109375" style="0" customWidth="1"/>
    <col min="24" max="16384" width="11.421875" style="0" customWidth="1"/>
  </cols>
  <sheetData>
    <row r="1" spans="1:25" ht="12.75">
      <c r="A1" s="8">
        <v>1</v>
      </c>
      <c r="B1" s="8" t="s">
        <v>128</v>
      </c>
      <c r="C1" s="7"/>
      <c r="D1" s="7"/>
      <c r="E1" s="7"/>
      <c r="F1" s="7"/>
      <c r="G1" s="7"/>
      <c r="H1" s="7"/>
      <c r="I1" s="199"/>
      <c r="J1" s="8">
        <f>A1</f>
        <v>1</v>
      </c>
      <c r="K1" s="200" t="str">
        <f>B1</f>
        <v>PROCESSO:555/97 DA  35a.VT/RJ</v>
      </c>
      <c r="L1" s="7"/>
      <c r="M1" s="7"/>
      <c r="N1" s="7"/>
      <c r="O1" s="8"/>
      <c r="P1" s="8"/>
      <c r="Q1" s="8">
        <f>J1</f>
        <v>1</v>
      </c>
      <c r="R1" s="8" t="str">
        <f>B1</f>
        <v>PROCESSO:555/97 DA  35a.VT/RJ</v>
      </c>
      <c r="S1" s="8"/>
      <c r="T1" s="8"/>
      <c r="U1" s="8"/>
      <c r="V1" s="8"/>
      <c r="W1" s="6"/>
      <c r="X1" s="6"/>
      <c r="Y1" s="6"/>
    </row>
    <row r="2" spans="1:25" ht="12.75">
      <c r="A2" s="8">
        <v>2</v>
      </c>
      <c r="B2" s="8" t="s">
        <v>0</v>
      </c>
      <c r="C2" s="7"/>
      <c r="D2" s="7"/>
      <c r="E2" s="7"/>
      <c r="F2" s="7"/>
      <c r="G2" s="7"/>
      <c r="H2" s="7"/>
      <c r="I2" s="199"/>
      <c r="J2" s="8">
        <f aca="true" t="shared" si="0" ref="J2:J26">A2</f>
        <v>2</v>
      </c>
      <c r="K2" s="200" t="str">
        <f>B2</f>
        <v>RTE: JOÃO DA SILVA</v>
      </c>
      <c r="L2" s="7"/>
      <c r="M2" s="7"/>
      <c r="N2" s="7"/>
      <c r="O2" s="8"/>
      <c r="P2" s="8"/>
      <c r="Q2" s="8">
        <f aca="true" t="shared" si="1" ref="Q2:Q26">J2</f>
        <v>2</v>
      </c>
      <c r="R2" s="8" t="str">
        <f>B2</f>
        <v>RTE: JOÃO DA SILVA</v>
      </c>
      <c r="S2" s="8"/>
      <c r="T2" s="8"/>
      <c r="U2" s="8"/>
      <c r="V2" s="8"/>
      <c r="W2" s="6"/>
      <c r="X2" s="6"/>
      <c r="Y2" s="6"/>
    </row>
    <row r="3" spans="1:25" ht="13.5" thickBot="1">
      <c r="A3" s="8">
        <v>3</v>
      </c>
      <c r="B3" s="10" t="s">
        <v>22</v>
      </c>
      <c r="C3" s="9"/>
      <c r="D3" s="9"/>
      <c r="E3" s="9"/>
      <c r="F3" s="9"/>
      <c r="G3" s="9"/>
      <c r="H3" s="9"/>
      <c r="I3" s="199"/>
      <c r="J3" s="8">
        <f t="shared" si="0"/>
        <v>3</v>
      </c>
      <c r="K3" s="201" t="str">
        <f>B3</f>
        <v>RDA: PROQ -PRODUTOS QUIMICOS LTDA.</v>
      </c>
      <c r="L3" s="9"/>
      <c r="M3" s="9"/>
      <c r="N3" s="9"/>
      <c r="O3" s="10"/>
      <c r="P3" s="10"/>
      <c r="Q3" s="8">
        <f t="shared" si="1"/>
        <v>3</v>
      </c>
      <c r="R3" s="10" t="str">
        <f>B3</f>
        <v>RDA: PROQ -PRODUTOS QUIMICOS LTDA.</v>
      </c>
      <c r="S3" s="10"/>
      <c r="T3" s="10"/>
      <c r="U3" s="10"/>
      <c r="V3" s="10"/>
      <c r="W3" s="6"/>
      <c r="X3" s="6"/>
      <c r="Y3" s="6"/>
    </row>
    <row r="4" spans="1:25" ht="13.5" thickBot="1">
      <c r="A4" s="8">
        <v>4</v>
      </c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205"/>
      <c r="J4" s="8">
        <f t="shared" si="0"/>
        <v>4</v>
      </c>
      <c r="K4" s="208" t="s">
        <v>37</v>
      </c>
      <c r="L4" s="12" t="s">
        <v>58</v>
      </c>
      <c r="M4" s="12" t="s">
        <v>38</v>
      </c>
      <c r="N4" s="12" t="s">
        <v>59</v>
      </c>
      <c r="O4" s="12" t="s">
        <v>39</v>
      </c>
      <c r="P4" s="38" t="s">
        <v>40</v>
      </c>
      <c r="Q4" s="8">
        <f t="shared" si="1"/>
        <v>4</v>
      </c>
      <c r="R4" s="203" t="s">
        <v>41</v>
      </c>
      <c r="S4" s="12" t="s">
        <v>108</v>
      </c>
      <c r="T4" s="12" t="s">
        <v>109</v>
      </c>
      <c r="U4" s="12" t="s">
        <v>110</v>
      </c>
      <c r="V4" s="13" t="s">
        <v>111</v>
      </c>
      <c r="W4" s="6"/>
      <c r="X4" s="6"/>
      <c r="Y4" s="6"/>
    </row>
    <row r="5" spans="1:25" ht="12.75">
      <c r="A5" s="8">
        <v>5</v>
      </c>
      <c r="B5" s="14" t="s">
        <v>8</v>
      </c>
      <c r="C5" s="15" t="s">
        <v>9</v>
      </c>
      <c r="D5" s="15" t="s">
        <v>9</v>
      </c>
      <c r="E5" s="15" t="s">
        <v>21</v>
      </c>
      <c r="F5" s="15" t="s">
        <v>29</v>
      </c>
      <c r="G5" s="15" t="s">
        <v>29</v>
      </c>
      <c r="H5" s="38" t="s">
        <v>32</v>
      </c>
      <c r="I5" s="205"/>
      <c r="J5" s="8">
        <f t="shared" si="0"/>
        <v>5</v>
      </c>
      <c r="K5" s="209" t="str">
        <f>B5</f>
        <v>PERÍODO</v>
      </c>
      <c r="L5" s="15" t="s">
        <v>34</v>
      </c>
      <c r="M5" s="15" t="s">
        <v>34</v>
      </c>
      <c r="N5" s="38" t="s">
        <v>35</v>
      </c>
      <c r="O5" s="16" t="s">
        <v>36</v>
      </c>
      <c r="P5" s="17" t="s">
        <v>17</v>
      </c>
      <c r="Q5" s="8">
        <f t="shared" si="1"/>
        <v>5</v>
      </c>
      <c r="R5" s="213" t="str">
        <f>B5</f>
        <v>PERÍODO</v>
      </c>
      <c r="S5" s="17" t="s">
        <v>36</v>
      </c>
      <c r="T5" s="15" t="s">
        <v>10</v>
      </c>
      <c r="U5" s="16" t="s">
        <v>10</v>
      </c>
      <c r="V5" s="17" t="s">
        <v>11</v>
      </c>
      <c r="W5" s="6"/>
      <c r="X5" s="6"/>
      <c r="Y5" s="6"/>
    </row>
    <row r="6" spans="1:25" ht="15" customHeight="1" thickBot="1">
      <c r="A6" s="8">
        <v>6</v>
      </c>
      <c r="B6" s="18" t="s">
        <v>13</v>
      </c>
      <c r="C6" s="211" t="s">
        <v>14</v>
      </c>
      <c r="D6" s="19" t="s">
        <v>15</v>
      </c>
      <c r="E6" s="19" t="s">
        <v>16</v>
      </c>
      <c r="F6" s="19" t="s">
        <v>30</v>
      </c>
      <c r="G6" s="19" t="s">
        <v>31</v>
      </c>
      <c r="H6" s="39" t="s">
        <v>33</v>
      </c>
      <c r="I6" s="205"/>
      <c r="J6" s="8">
        <f t="shared" si="0"/>
        <v>6</v>
      </c>
      <c r="K6" s="210" t="str">
        <f>B6</f>
        <v>MÊS/ANO</v>
      </c>
      <c r="L6" s="19" t="s">
        <v>30</v>
      </c>
      <c r="M6" s="19" t="s">
        <v>308</v>
      </c>
      <c r="N6" s="39" t="s">
        <v>56</v>
      </c>
      <c r="O6" s="32">
        <v>1</v>
      </c>
      <c r="P6" s="21" t="s">
        <v>57</v>
      </c>
      <c r="Q6" s="8">
        <f t="shared" si="1"/>
        <v>6</v>
      </c>
      <c r="R6" s="204" t="str">
        <f>B6</f>
        <v>MÊS/ANO</v>
      </c>
      <c r="S6" s="21">
        <v>2</v>
      </c>
      <c r="T6" s="20">
        <v>0.08</v>
      </c>
      <c r="U6" s="30">
        <v>0.4</v>
      </c>
      <c r="V6" s="21" t="s">
        <v>18</v>
      </c>
      <c r="W6" s="6"/>
      <c r="X6" s="6"/>
      <c r="Y6" s="6"/>
    </row>
    <row r="7" spans="1:25" ht="12.75">
      <c r="A7" s="8">
        <v>7</v>
      </c>
      <c r="B7" s="29">
        <v>35125</v>
      </c>
      <c r="C7" s="23">
        <f>'Salários Mínimos'!C266</f>
        <v>100</v>
      </c>
      <c r="D7" s="23">
        <f>C7*3</f>
        <v>300</v>
      </c>
      <c r="E7" s="24">
        <f aca="true" t="shared" si="2" ref="E7:E14">C7*0.2</f>
        <v>20</v>
      </c>
      <c r="F7" s="25">
        <v>49.58</v>
      </c>
      <c r="G7" s="25">
        <f>(D7+E7)/220*0.2*F7</f>
        <v>14.423272727272728</v>
      </c>
      <c r="H7" s="34">
        <f>(D7+E7+G7)/220</f>
        <v>1.520105785123967</v>
      </c>
      <c r="I7" s="206"/>
      <c r="J7" s="8">
        <f t="shared" si="0"/>
        <v>7</v>
      </c>
      <c r="K7" s="29">
        <v>35125</v>
      </c>
      <c r="L7" s="25">
        <v>71.23</v>
      </c>
      <c r="M7" s="25">
        <f>(H7*1.5)*L7</f>
        <v>162.41570261157028</v>
      </c>
      <c r="N7" s="40">
        <f aca="true" t="shared" si="3" ref="N7:N12">(G7+M7)/6</f>
        <v>29.473162556473834</v>
      </c>
      <c r="O7" s="25">
        <f>E7+G7+M7+N7</f>
        <v>226.31213789531682</v>
      </c>
      <c r="P7" s="34">
        <f>'INSS Emp-Emprg'!D11</f>
        <v>18.104971031625347</v>
      </c>
      <c r="Q7" s="8">
        <f t="shared" si="1"/>
        <v>7</v>
      </c>
      <c r="R7" s="33">
        <f>B7</f>
        <v>35125</v>
      </c>
      <c r="S7" s="26">
        <f>O7-P7</f>
        <v>208.20716686369147</v>
      </c>
      <c r="T7" s="26">
        <f>O7*0.08</f>
        <v>18.104971031625347</v>
      </c>
      <c r="U7" s="23">
        <f>T7*40%</f>
        <v>7.241988412650139</v>
      </c>
      <c r="V7" s="36">
        <f aca="true" t="shared" si="4" ref="V7:V25">S7+T7+U7</f>
        <v>233.55412630796695</v>
      </c>
      <c r="W7" s="6"/>
      <c r="X7" s="6"/>
      <c r="Y7" s="6"/>
    </row>
    <row r="8" spans="1:25" ht="12.75">
      <c r="A8" s="8">
        <v>8</v>
      </c>
      <c r="B8" s="22">
        <v>35156</v>
      </c>
      <c r="C8" s="23">
        <f>'Salários Mínimos'!C267</f>
        <v>100</v>
      </c>
      <c r="D8" s="23">
        <f aca="true" t="shared" si="5" ref="D8:D25">C8*3</f>
        <v>300</v>
      </c>
      <c r="E8" s="24">
        <f t="shared" si="2"/>
        <v>20</v>
      </c>
      <c r="F8" s="25">
        <v>49.58</v>
      </c>
      <c r="G8" s="25">
        <f>(D8+E8)/220*0.2*F8</f>
        <v>14.423272727272728</v>
      </c>
      <c r="H8" s="40">
        <f>(D8+E8+G8)/220</f>
        <v>1.520105785123967</v>
      </c>
      <c r="I8" s="206"/>
      <c r="J8" s="8">
        <f t="shared" si="0"/>
        <v>8</v>
      </c>
      <c r="K8" s="22">
        <v>35156</v>
      </c>
      <c r="L8" s="25">
        <v>71.23</v>
      </c>
      <c r="M8" s="25">
        <f>(H8*1.5)*L8</f>
        <v>162.41570261157028</v>
      </c>
      <c r="N8" s="40">
        <f t="shared" si="3"/>
        <v>29.473162556473834</v>
      </c>
      <c r="O8" s="25">
        <f>E8+G8+M8+N8</f>
        <v>226.31213789531682</v>
      </c>
      <c r="P8" s="34">
        <f>'INSS Emp-Emprg'!D12</f>
        <v>18.104971031625347</v>
      </c>
      <c r="Q8" s="8">
        <f t="shared" si="1"/>
        <v>8</v>
      </c>
      <c r="R8" s="35">
        <f>B8</f>
        <v>35156</v>
      </c>
      <c r="S8" s="26">
        <f>O8-P8</f>
        <v>208.20716686369147</v>
      </c>
      <c r="T8" s="26">
        <f>O8*0.08</f>
        <v>18.104971031625347</v>
      </c>
      <c r="U8" s="23">
        <f>T8*40%</f>
        <v>7.241988412650139</v>
      </c>
      <c r="V8" s="36">
        <f t="shared" si="4"/>
        <v>233.55412630796695</v>
      </c>
      <c r="W8" s="27"/>
      <c r="X8" s="6"/>
      <c r="Y8" s="6"/>
    </row>
    <row r="9" spans="1:25" ht="12.75">
      <c r="A9" s="8">
        <v>9</v>
      </c>
      <c r="B9" s="22">
        <v>35186</v>
      </c>
      <c r="C9" s="23">
        <f>'Salários Mínimos'!C268</f>
        <v>112</v>
      </c>
      <c r="D9" s="23">
        <f t="shared" si="5"/>
        <v>336</v>
      </c>
      <c r="E9" s="24">
        <f t="shared" si="2"/>
        <v>22.400000000000002</v>
      </c>
      <c r="F9" s="25">
        <v>49.58</v>
      </c>
      <c r="G9" s="25">
        <f aca="true" t="shared" si="6" ref="G9:G25">(D9+E9)/220*0.2*F9</f>
        <v>16.154065454545453</v>
      </c>
      <c r="H9" s="40">
        <f aca="true" t="shared" si="7" ref="H9:H25">(D9+E9+G9)/220</f>
        <v>1.7025184793388428</v>
      </c>
      <c r="I9" s="206"/>
      <c r="J9" s="8">
        <f t="shared" si="0"/>
        <v>9</v>
      </c>
      <c r="K9" s="22">
        <v>35186</v>
      </c>
      <c r="L9" s="25">
        <v>71.23</v>
      </c>
      <c r="M9" s="25">
        <f aca="true" t="shared" si="8" ref="M9:M25">(H9*1.5)*L9</f>
        <v>181.90558692495867</v>
      </c>
      <c r="N9" s="40">
        <f t="shared" si="3"/>
        <v>33.00994206325068</v>
      </c>
      <c r="O9" s="25">
        <f aca="true" t="shared" si="9" ref="O9:O25">E9+G9+M9+N9</f>
        <v>253.4695944427548</v>
      </c>
      <c r="P9" s="34">
        <f>'INSS Emp-Emprg'!D13</f>
        <v>20.277567555420386</v>
      </c>
      <c r="Q9" s="8">
        <f t="shared" si="1"/>
        <v>9</v>
      </c>
      <c r="R9" s="35">
        <f aca="true" t="shared" si="10" ref="R9:R26">B9</f>
        <v>35186</v>
      </c>
      <c r="S9" s="26">
        <f>O9-P9</f>
        <v>233.19202688733444</v>
      </c>
      <c r="T9" s="26">
        <f aca="true" t="shared" si="11" ref="T9:T25">O9*0.08</f>
        <v>20.277567555420386</v>
      </c>
      <c r="U9" s="23">
        <f>T9*40%</f>
        <v>8.111027022168155</v>
      </c>
      <c r="V9" s="36">
        <f t="shared" si="4"/>
        <v>261.58062146492296</v>
      </c>
      <c r="W9" s="27"/>
      <c r="X9" s="6"/>
      <c r="Y9" s="6"/>
    </row>
    <row r="10" spans="1:25" ht="12.75">
      <c r="A10" s="8">
        <v>10</v>
      </c>
      <c r="B10" s="22">
        <v>35217</v>
      </c>
      <c r="C10" s="23">
        <f>'Salários Mínimos'!C269</f>
        <v>112</v>
      </c>
      <c r="D10" s="23">
        <f t="shared" si="5"/>
        <v>336</v>
      </c>
      <c r="E10" s="24">
        <f t="shared" si="2"/>
        <v>22.400000000000002</v>
      </c>
      <c r="F10" s="25">
        <v>49.58</v>
      </c>
      <c r="G10" s="25">
        <f t="shared" si="6"/>
        <v>16.154065454545453</v>
      </c>
      <c r="H10" s="40">
        <f t="shared" si="7"/>
        <v>1.7025184793388428</v>
      </c>
      <c r="I10" s="206"/>
      <c r="J10" s="8">
        <f t="shared" si="0"/>
        <v>10</v>
      </c>
      <c r="K10" s="22">
        <v>35217</v>
      </c>
      <c r="L10" s="25">
        <v>71.23</v>
      </c>
      <c r="M10" s="25">
        <f t="shared" si="8"/>
        <v>181.90558692495867</v>
      </c>
      <c r="N10" s="40">
        <f t="shared" si="3"/>
        <v>33.00994206325068</v>
      </c>
      <c r="O10" s="25">
        <f t="shared" si="9"/>
        <v>253.4695944427548</v>
      </c>
      <c r="P10" s="34">
        <f>'INSS Emp-Emprg'!D14</f>
        <v>20.277567555420386</v>
      </c>
      <c r="Q10" s="8">
        <f t="shared" si="1"/>
        <v>10</v>
      </c>
      <c r="R10" s="35">
        <f t="shared" si="10"/>
        <v>35217</v>
      </c>
      <c r="S10" s="26">
        <f>O10-P10</f>
        <v>233.19202688733444</v>
      </c>
      <c r="T10" s="26">
        <f t="shared" si="11"/>
        <v>20.277567555420386</v>
      </c>
      <c r="U10" s="23">
        <f>T10*40%</f>
        <v>8.111027022168155</v>
      </c>
      <c r="V10" s="36">
        <f t="shared" si="4"/>
        <v>261.58062146492296</v>
      </c>
      <c r="W10" s="27"/>
      <c r="X10" s="6"/>
      <c r="Y10" s="6"/>
    </row>
    <row r="11" spans="1:25" ht="12.75">
      <c r="A11" s="8">
        <v>11</v>
      </c>
      <c r="B11" s="22">
        <v>35247</v>
      </c>
      <c r="C11" s="23">
        <f>'Salários Mínimos'!C270</f>
        <v>112</v>
      </c>
      <c r="D11" s="23">
        <f t="shared" si="5"/>
        <v>336</v>
      </c>
      <c r="E11" s="24">
        <f t="shared" si="2"/>
        <v>22.400000000000002</v>
      </c>
      <c r="F11" s="25">
        <v>49.58</v>
      </c>
      <c r="G11" s="25">
        <f t="shared" si="6"/>
        <v>16.154065454545453</v>
      </c>
      <c r="H11" s="40">
        <f t="shared" si="7"/>
        <v>1.7025184793388428</v>
      </c>
      <c r="I11" s="206"/>
      <c r="J11" s="8">
        <f t="shared" si="0"/>
        <v>11</v>
      </c>
      <c r="K11" s="22">
        <v>35247</v>
      </c>
      <c r="L11" s="25">
        <v>71.23</v>
      </c>
      <c r="M11" s="25">
        <f t="shared" si="8"/>
        <v>181.90558692495867</v>
      </c>
      <c r="N11" s="40">
        <f t="shared" si="3"/>
        <v>33.00994206325068</v>
      </c>
      <c r="O11" s="25">
        <f t="shared" si="9"/>
        <v>253.4695944427548</v>
      </c>
      <c r="P11" s="34">
        <f>'INSS Emp-Emprg'!D15</f>
        <v>20.277567555420386</v>
      </c>
      <c r="Q11" s="8">
        <f t="shared" si="1"/>
        <v>11</v>
      </c>
      <c r="R11" s="35">
        <f t="shared" si="10"/>
        <v>35247</v>
      </c>
      <c r="S11" s="26">
        <f>O11-P11</f>
        <v>233.19202688733444</v>
      </c>
      <c r="T11" s="26">
        <f t="shared" si="11"/>
        <v>20.277567555420386</v>
      </c>
      <c r="U11" s="23">
        <f>T11*40%</f>
        <v>8.111027022168155</v>
      </c>
      <c r="V11" s="36">
        <f t="shared" si="4"/>
        <v>261.58062146492296</v>
      </c>
      <c r="W11" s="6"/>
      <c r="X11" s="6"/>
      <c r="Y11" s="6"/>
    </row>
    <row r="12" spans="1:25" ht="12.75">
      <c r="A12" s="8">
        <v>12</v>
      </c>
      <c r="B12" s="22">
        <v>35278</v>
      </c>
      <c r="C12" s="23">
        <f>'Salários Mínimos'!C271</f>
        <v>112</v>
      </c>
      <c r="D12" s="23">
        <f t="shared" si="5"/>
        <v>336</v>
      </c>
      <c r="E12" s="24">
        <f t="shared" si="2"/>
        <v>22.400000000000002</v>
      </c>
      <c r="F12" s="25">
        <v>49.58</v>
      </c>
      <c r="G12" s="25">
        <f t="shared" si="6"/>
        <v>16.154065454545453</v>
      </c>
      <c r="H12" s="40">
        <f t="shared" si="7"/>
        <v>1.7025184793388428</v>
      </c>
      <c r="I12" s="206"/>
      <c r="J12" s="8">
        <f t="shared" si="0"/>
        <v>12</v>
      </c>
      <c r="K12" s="22">
        <v>35278</v>
      </c>
      <c r="L12" s="25">
        <v>71.23</v>
      </c>
      <c r="M12" s="25">
        <f t="shared" si="8"/>
        <v>181.90558692495867</v>
      </c>
      <c r="N12" s="40">
        <f t="shared" si="3"/>
        <v>33.00994206325068</v>
      </c>
      <c r="O12" s="25">
        <f t="shared" si="9"/>
        <v>253.4695944427548</v>
      </c>
      <c r="P12" s="34">
        <f>'INSS Emp-Emprg'!D16</f>
        <v>20.277567555420386</v>
      </c>
      <c r="Q12" s="8">
        <f t="shared" si="1"/>
        <v>12</v>
      </c>
      <c r="R12" s="35">
        <f t="shared" si="10"/>
        <v>35278</v>
      </c>
      <c r="S12" s="26">
        <f aca="true" t="shared" si="12" ref="S12:S23">O12-P12</f>
        <v>233.19202688733444</v>
      </c>
      <c r="T12" s="26">
        <f t="shared" si="11"/>
        <v>20.277567555420386</v>
      </c>
      <c r="U12" s="23">
        <f aca="true" t="shared" si="13" ref="U12:U23">T12*40%</f>
        <v>8.111027022168155</v>
      </c>
      <c r="V12" s="36">
        <f t="shared" si="4"/>
        <v>261.58062146492296</v>
      </c>
      <c r="W12" s="6"/>
      <c r="X12" s="6"/>
      <c r="Y12" s="6"/>
    </row>
    <row r="13" spans="1:25" ht="12.75">
      <c r="A13" s="8">
        <v>13</v>
      </c>
      <c r="B13" s="22">
        <v>35309</v>
      </c>
      <c r="C13" s="23">
        <f>'Salários Mínimos'!C272</f>
        <v>112</v>
      </c>
      <c r="D13" s="23">
        <f t="shared" si="5"/>
        <v>336</v>
      </c>
      <c r="E13" s="24">
        <f t="shared" si="2"/>
        <v>22.400000000000002</v>
      </c>
      <c r="F13" s="25">
        <v>49.58</v>
      </c>
      <c r="G13" s="25">
        <f t="shared" si="6"/>
        <v>16.154065454545453</v>
      </c>
      <c r="H13" s="40">
        <f t="shared" si="7"/>
        <v>1.7025184793388428</v>
      </c>
      <c r="I13" s="206"/>
      <c r="J13" s="8">
        <f t="shared" si="0"/>
        <v>13</v>
      </c>
      <c r="K13" s="22">
        <v>35309</v>
      </c>
      <c r="L13" s="25">
        <v>71.23</v>
      </c>
      <c r="M13" s="25">
        <f t="shared" si="8"/>
        <v>181.90558692495867</v>
      </c>
      <c r="N13" s="40">
        <f aca="true" t="shared" si="14" ref="N13:N23">(G13+M13)/6</f>
        <v>33.00994206325068</v>
      </c>
      <c r="O13" s="25">
        <f t="shared" si="9"/>
        <v>253.4695944427548</v>
      </c>
      <c r="P13" s="34">
        <f>'INSS Emp-Emprg'!D17</f>
        <v>20.277567555420386</v>
      </c>
      <c r="Q13" s="8">
        <f t="shared" si="1"/>
        <v>13</v>
      </c>
      <c r="R13" s="35">
        <f t="shared" si="10"/>
        <v>35309</v>
      </c>
      <c r="S13" s="26">
        <f t="shared" si="12"/>
        <v>233.19202688733444</v>
      </c>
      <c r="T13" s="26">
        <f t="shared" si="11"/>
        <v>20.277567555420386</v>
      </c>
      <c r="U13" s="23">
        <f t="shared" si="13"/>
        <v>8.111027022168155</v>
      </c>
      <c r="V13" s="36">
        <f t="shared" si="4"/>
        <v>261.58062146492296</v>
      </c>
      <c r="W13" s="28"/>
      <c r="X13" s="6"/>
      <c r="Y13" s="6"/>
    </row>
    <row r="14" spans="1:25" ht="12.75">
      <c r="A14" s="8">
        <v>14</v>
      </c>
      <c r="B14" s="22">
        <v>35339</v>
      </c>
      <c r="C14" s="23">
        <f>'Salários Mínimos'!C273</f>
        <v>112</v>
      </c>
      <c r="D14" s="23">
        <f t="shared" si="5"/>
        <v>336</v>
      </c>
      <c r="E14" s="24">
        <f t="shared" si="2"/>
        <v>22.400000000000002</v>
      </c>
      <c r="F14" s="25">
        <v>49.58</v>
      </c>
      <c r="G14" s="25">
        <f t="shared" si="6"/>
        <v>16.154065454545453</v>
      </c>
      <c r="H14" s="40">
        <f t="shared" si="7"/>
        <v>1.7025184793388428</v>
      </c>
      <c r="I14" s="206"/>
      <c r="J14" s="8">
        <f t="shared" si="0"/>
        <v>14</v>
      </c>
      <c r="K14" s="22">
        <v>35339</v>
      </c>
      <c r="L14" s="25">
        <v>71.23</v>
      </c>
      <c r="M14" s="25">
        <f t="shared" si="8"/>
        <v>181.90558692495867</v>
      </c>
      <c r="N14" s="40">
        <f t="shared" si="14"/>
        <v>33.00994206325068</v>
      </c>
      <c r="O14" s="25">
        <f t="shared" si="9"/>
        <v>253.4695944427548</v>
      </c>
      <c r="P14" s="34">
        <f>'INSS Emp-Emprg'!D18</f>
        <v>20.277567555420386</v>
      </c>
      <c r="Q14" s="8">
        <f t="shared" si="1"/>
        <v>14</v>
      </c>
      <c r="R14" s="35">
        <f t="shared" si="10"/>
        <v>35339</v>
      </c>
      <c r="S14" s="26">
        <f t="shared" si="12"/>
        <v>233.19202688733444</v>
      </c>
      <c r="T14" s="26">
        <f t="shared" si="11"/>
        <v>20.277567555420386</v>
      </c>
      <c r="U14" s="23">
        <f t="shared" si="13"/>
        <v>8.111027022168155</v>
      </c>
      <c r="V14" s="36">
        <f t="shared" si="4"/>
        <v>261.58062146492296</v>
      </c>
      <c r="W14" s="28"/>
      <c r="X14" s="6"/>
      <c r="Y14" s="6"/>
    </row>
    <row r="15" spans="1:25" ht="12.75">
      <c r="A15" s="8">
        <v>15</v>
      </c>
      <c r="B15" s="22">
        <v>35370</v>
      </c>
      <c r="C15" s="23">
        <f>'Salários Mínimos'!C274</f>
        <v>112</v>
      </c>
      <c r="D15" s="23">
        <f t="shared" si="5"/>
        <v>336</v>
      </c>
      <c r="E15" s="24">
        <f aca="true" t="shared" si="15" ref="E15:E25">C15*0.2</f>
        <v>22.400000000000002</v>
      </c>
      <c r="F15" s="25">
        <v>49.58</v>
      </c>
      <c r="G15" s="25">
        <f t="shared" si="6"/>
        <v>16.154065454545453</v>
      </c>
      <c r="H15" s="40">
        <f t="shared" si="7"/>
        <v>1.7025184793388428</v>
      </c>
      <c r="I15" s="206"/>
      <c r="J15" s="8">
        <f t="shared" si="0"/>
        <v>15</v>
      </c>
      <c r="K15" s="22">
        <v>35370</v>
      </c>
      <c r="L15" s="25">
        <v>71.23</v>
      </c>
      <c r="M15" s="25">
        <f t="shared" si="8"/>
        <v>181.90558692495867</v>
      </c>
      <c r="N15" s="40">
        <f t="shared" si="14"/>
        <v>33.00994206325068</v>
      </c>
      <c r="O15" s="25">
        <f t="shared" si="9"/>
        <v>253.4695944427548</v>
      </c>
      <c r="P15" s="34">
        <f>'INSS Emp-Emprg'!D19</f>
        <v>20.277567555420386</v>
      </c>
      <c r="Q15" s="8">
        <f t="shared" si="1"/>
        <v>15</v>
      </c>
      <c r="R15" s="35">
        <f t="shared" si="10"/>
        <v>35370</v>
      </c>
      <c r="S15" s="26">
        <f t="shared" si="12"/>
        <v>233.19202688733444</v>
      </c>
      <c r="T15" s="26">
        <f t="shared" si="11"/>
        <v>20.277567555420386</v>
      </c>
      <c r="U15" s="23">
        <f t="shared" si="13"/>
        <v>8.111027022168155</v>
      </c>
      <c r="V15" s="36">
        <f t="shared" si="4"/>
        <v>261.58062146492296</v>
      </c>
      <c r="W15" s="28"/>
      <c r="X15" s="6"/>
      <c r="Y15" s="6"/>
    </row>
    <row r="16" spans="1:25" ht="12.75">
      <c r="A16" s="8">
        <v>16</v>
      </c>
      <c r="B16" s="22">
        <v>35400</v>
      </c>
      <c r="C16" s="23">
        <f>'Salários Mínimos'!C275</f>
        <v>112</v>
      </c>
      <c r="D16" s="23">
        <f t="shared" si="5"/>
        <v>336</v>
      </c>
      <c r="E16" s="24">
        <f t="shared" si="15"/>
        <v>22.400000000000002</v>
      </c>
      <c r="F16" s="25">
        <v>49.58</v>
      </c>
      <c r="G16" s="25">
        <f t="shared" si="6"/>
        <v>16.154065454545453</v>
      </c>
      <c r="H16" s="40">
        <f t="shared" si="7"/>
        <v>1.7025184793388428</v>
      </c>
      <c r="I16" s="206"/>
      <c r="J16" s="8">
        <f t="shared" si="0"/>
        <v>16</v>
      </c>
      <c r="K16" s="22">
        <v>35400</v>
      </c>
      <c r="L16" s="25">
        <v>71.23</v>
      </c>
      <c r="M16" s="25">
        <f t="shared" si="8"/>
        <v>181.90558692495867</v>
      </c>
      <c r="N16" s="40">
        <f t="shared" si="14"/>
        <v>33.00994206325068</v>
      </c>
      <c r="O16" s="25">
        <f t="shared" si="9"/>
        <v>253.4695944427548</v>
      </c>
      <c r="P16" s="34">
        <f>'INSS Emp-Emprg'!D20</f>
        <v>20.277567555420386</v>
      </c>
      <c r="Q16" s="8">
        <f t="shared" si="1"/>
        <v>16</v>
      </c>
      <c r="R16" s="35">
        <f t="shared" si="10"/>
        <v>35400</v>
      </c>
      <c r="S16" s="26">
        <f t="shared" si="12"/>
        <v>233.19202688733444</v>
      </c>
      <c r="T16" s="26">
        <f t="shared" si="11"/>
        <v>20.277567555420386</v>
      </c>
      <c r="U16" s="23">
        <f t="shared" si="13"/>
        <v>8.111027022168155</v>
      </c>
      <c r="V16" s="36">
        <f t="shared" si="4"/>
        <v>261.58062146492296</v>
      </c>
      <c r="W16" s="6"/>
      <c r="X16" s="6"/>
      <c r="Y16" s="6"/>
    </row>
    <row r="17" spans="1:25" ht="12.75">
      <c r="A17" s="8">
        <v>17</v>
      </c>
      <c r="B17" s="41" t="s">
        <v>127</v>
      </c>
      <c r="C17" s="23">
        <f>C16</f>
        <v>112</v>
      </c>
      <c r="D17" s="23">
        <f>C17*3</f>
        <v>336</v>
      </c>
      <c r="E17" s="361">
        <f>E16/12*10</f>
        <v>18.666666666666668</v>
      </c>
      <c r="F17" s="362">
        <f>SUM(F7:F16)/12</f>
        <v>41.316666666666656</v>
      </c>
      <c r="G17" s="25">
        <f t="shared" si="6"/>
        <v>13.32149494949495</v>
      </c>
      <c r="H17" s="40">
        <f t="shared" si="7"/>
        <v>1.6726734618916437</v>
      </c>
      <c r="I17" s="206"/>
      <c r="J17" s="8">
        <f t="shared" si="0"/>
        <v>17</v>
      </c>
      <c r="K17" s="41" t="s">
        <v>127</v>
      </c>
      <c r="L17" s="363">
        <f>SUM(L7:L16)/12</f>
        <v>59.35833333333334</v>
      </c>
      <c r="M17" s="25">
        <f t="shared" si="8"/>
        <v>148.93066336317725</v>
      </c>
      <c r="N17" s="40">
        <f t="shared" si="14"/>
        <v>27.042026385445368</v>
      </c>
      <c r="O17" s="25">
        <f t="shared" si="9"/>
        <v>207.96085136478422</v>
      </c>
      <c r="P17" s="34">
        <f>'INSS Emp-Emprg'!D21</f>
        <v>16.63686810918274</v>
      </c>
      <c r="Q17" s="8">
        <f t="shared" si="1"/>
        <v>17</v>
      </c>
      <c r="R17" s="35" t="str">
        <f t="shared" si="10"/>
        <v>13º/96</v>
      </c>
      <c r="S17" s="26">
        <f t="shared" si="12"/>
        <v>191.3239832556015</v>
      </c>
      <c r="T17" s="26">
        <f t="shared" si="11"/>
        <v>16.63686810918274</v>
      </c>
      <c r="U17" s="23">
        <f t="shared" si="13"/>
        <v>6.654747243673096</v>
      </c>
      <c r="V17" s="36">
        <f t="shared" si="4"/>
        <v>214.6155986084573</v>
      </c>
      <c r="W17" s="6"/>
      <c r="X17" s="6"/>
      <c r="Y17" s="6"/>
    </row>
    <row r="18" spans="1:25" ht="12.75">
      <c r="A18" s="8">
        <v>18</v>
      </c>
      <c r="B18" s="41">
        <v>35431</v>
      </c>
      <c r="C18" s="23">
        <f>'Salários Mínimos'!C276</f>
        <v>112</v>
      </c>
      <c r="D18" s="23">
        <f t="shared" si="5"/>
        <v>336</v>
      </c>
      <c r="E18" s="24">
        <f t="shared" si="15"/>
        <v>22.400000000000002</v>
      </c>
      <c r="F18" s="25">
        <v>49.58</v>
      </c>
      <c r="G18" s="25">
        <f t="shared" si="6"/>
        <v>16.154065454545453</v>
      </c>
      <c r="H18" s="40">
        <f t="shared" si="7"/>
        <v>1.7025184793388428</v>
      </c>
      <c r="I18" s="206"/>
      <c r="J18" s="8">
        <f t="shared" si="0"/>
        <v>18</v>
      </c>
      <c r="K18" s="41">
        <v>35431</v>
      </c>
      <c r="L18" s="25">
        <v>71.23</v>
      </c>
      <c r="M18" s="25">
        <f t="shared" si="8"/>
        <v>181.90558692495867</v>
      </c>
      <c r="N18" s="40">
        <f t="shared" si="14"/>
        <v>33.00994206325068</v>
      </c>
      <c r="O18" s="25">
        <f t="shared" si="9"/>
        <v>253.4695944427548</v>
      </c>
      <c r="P18" s="34">
        <f>'INSS Emp-Emprg'!D22</f>
        <v>19.821322285423427</v>
      </c>
      <c r="Q18" s="8">
        <f t="shared" si="1"/>
        <v>18</v>
      </c>
      <c r="R18" s="35">
        <f t="shared" si="10"/>
        <v>35431</v>
      </c>
      <c r="S18" s="26">
        <f t="shared" si="12"/>
        <v>233.64827215733138</v>
      </c>
      <c r="T18" s="26">
        <f t="shared" si="11"/>
        <v>20.277567555420386</v>
      </c>
      <c r="U18" s="23">
        <f t="shared" si="13"/>
        <v>8.111027022168155</v>
      </c>
      <c r="V18" s="36">
        <f t="shared" si="4"/>
        <v>262.0368667349199</v>
      </c>
      <c r="W18" s="6"/>
      <c r="X18" s="6"/>
      <c r="Y18" s="6"/>
    </row>
    <row r="19" spans="1:25" ht="12.75">
      <c r="A19" s="8">
        <v>19</v>
      </c>
      <c r="B19" s="41">
        <v>35462</v>
      </c>
      <c r="C19" s="23">
        <f>'Salários Mínimos'!C277</f>
        <v>112</v>
      </c>
      <c r="D19" s="23">
        <f t="shared" si="5"/>
        <v>336</v>
      </c>
      <c r="E19" s="24">
        <f t="shared" si="15"/>
        <v>22.400000000000002</v>
      </c>
      <c r="F19" s="25">
        <v>49.58</v>
      </c>
      <c r="G19" s="25">
        <f t="shared" si="6"/>
        <v>16.154065454545453</v>
      </c>
      <c r="H19" s="40">
        <f t="shared" si="7"/>
        <v>1.7025184793388428</v>
      </c>
      <c r="I19" s="206"/>
      <c r="J19" s="8">
        <f t="shared" si="0"/>
        <v>19</v>
      </c>
      <c r="K19" s="41">
        <v>35462</v>
      </c>
      <c r="L19" s="25">
        <v>71.23</v>
      </c>
      <c r="M19" s="25">
        <f t="shared" si="8"/>
        <v>181.90558692495867</v>
      </c>
      <c r="N19" s="40">
        <f t="shared" si="14"/>
        <v>33.00994206325068</v>
      </c>
      <c r="O19" s="25">
        <f t="shared" si="9"/>
        <v>253.4695944427548</v>
      </c>
      <c r="P19" s="34">
        <f>'INSS Emp-Emprg'!D23</f>
        <v>19.821322285423427</v>
      </c>
      <c r="Q19" s="8">
        <f t="shared" si="1"/>
        <v>19</v>
      </c>
      <c r="R19" s="35">
        <f t="shared" si="10"/>
        <v>35462</v>
      </c>
      <c r="S19" s="26">
        <f t="shared" si="12"/>
        <v>233.64827215733138</v>
      </c>
      <c r="T19" s="26">
        <f t="shared" si="11"/>
        <v>20.277567555420386</v>
      </c>
      <c r="U19" s="23">
        <f t="shared" si="13"/>
        <v>8.111027022168155</v>
      </c>
      <c r="V19" s="36">
        <f t="shared" si="4"/>
        <v>262.0368667349199</v>
      </c>
      <c r="W19" s="6"/>
      <c r="X19" s="6"/>
      <c r="Y19" s="6"/>
    </row>
    <row r="20" spans="1:25" ht="12.75">
      <c r="A20" s="8">
        <v>20</v>
      </c>
      <c r="B20" s="41">
        <v>35490</v>
      </c>
      <c r="C20" s="23">
        <f>'Salários Mínimos'!C278</f>
        <v>112</v>
      </c>
      <c r="D20" s="23">
        <f t="shared" si="5"/>
        <v>336</v>
      </c>
      <c r="E20" s="24">
        <f t="shared" si="15"/>
        <v>22.400000000000002</v>
      </c>
      <c r="F20" s="25">
        <v>49.58</v>
      </c>
      <c r="G20" s="25">
        <f t="shared" si="6"/>
        <v>16.154065454545453</v>
      </c>
      <c r="H20" s="40">
        <f t="shared" si="7"/>
        <v>1.7025184793388428</v>
      </c>
      <c r="I20" s="206"/>
      <c r="J20" s="8">
        <f t="shared" si="0"/>
        <v>20</v>
      </c>
      <c r="K20" s="41">
        <v>35490</v>
      </c>
      <c r="L20" s="25">
        <v>71.23</v>
      </c>
      <c r="M20" s="25">
        <f t="shared" si="8"/>
        <v>181.90558692495867</v>
      </c>
      <c r="N20" s="40">
        <f t="shared" si="14"/>
        <v>33.00994206325068</v>
      </c>
      <c r="O20" s="25">
        <f t="shared" si="9"/>
        <v>253.4695944427548</v>
      </c>
      <c r="P20" s="34">
        <f>'INSS Emp-Emprg'!D24</f>
        <v>19.821322285423427</v>
      </c>
      <c r="Q20" s="8">
        <f t="shared" si="1"/>
        <v>20</v>
      </c>
      <c r="R20" s="35">
        <f t="shared" si="10"/>
        <v>35490</v>
      </c>
      <c r="S20" s="26">
        <f t="shared" si="12"/>
        <v>233.64827215733138</v>
      </c>
      <c r="T20" s="26">
        <f t="shared" si="11"/>
        <v>20.277567555420386</v>
      </c>
      <c r="U20" s="23">
        <f t="shared" si="13"/>
        <v>8.111027022168155</v>
      </c>
      <c r="V20" s="36">
        <f t="shared" si="4"/>
        <v>262.0368667349199</v>
      </c>
      <c r="W20" s="6"/>
      <c r="X20" s="6"/>
      <c r="Y20" s="6"/>
    </row>
    <row r="21" spans="1:25" ht="12.75">
      <c r="A21" s="8">
        <v>21</v>
      </c>
      <c r="B21" s="41">
        <v>35521</v>
      </c>
      <c r="C21" s="23">
        <f>'Salários Mínimos'!C279</f>
        <v>112</v>
      </c>
      <c r="D21" s="23">
        <f t="shared" si="5"/>
        <v>336</v>
      </c>
      <c r="E21" s="24">
        <f t="shared" si="15"/>
        <v>22.400000000000002</v>
      </c>
      <c r="F21" s="25">
        <v>49.58</v>
      </c>
      <c r="G21" s="25">
        <f t="shared" si="6"/>
        <v>16.154065454545453</v>
      </c>
      <c r="H21" s="40">
        <f t="shared" si="7"/>
        <v>1.7025184793388428</v>
      </c>
      <c r="I21" s="206"/>
      <c r="J21" s="8">
        <f t="shared" si="0"/>
        <v>21</v>
      </c>
      <c r="K21" s="41">
        <v>35521</v>
      </c>
      <c r="L21" s="25">
        <v>71.23</v>
      </c>
      <c r="M21" s="25">
        <f t="shared" si="8"/>
        <v>181.90558692495867</v>
      </c>
      <c r="N21" s="40">
        <f t="shared" si="14"/>
        <v>33.00994206325068</v>
      </c>
      <c r="O21" s="25">
        <f t="shared" si="9"/>
        <v>253.4695944427548</v>
      </c>
      <c r="P21" s="34">
        <f>'INSS Emp-Emprg'!D25</f>
        <v>19.821322285423427</v>
      </c>
      <c r="Q21" s="8">
        <f t="shared" si="1"/>
        <v>21</v>
      </c>
      <c r="R21" s="35">
        <f t="shared" si="10"/>
        <v>35521</v>
      </c>
      <c r="S21" s="26">
        <f t="shared" si="12"/>
        <v>233.64827215733138</v>
      </c>
      <c r="T21" s="26">
        <f t="shared" si="11"/>
        <v>20.277567555420386</v>
      </c>
      <c r="U21" s="23">
        <f t="shared" si="13"/>
        <v>8.111027022168155</v>
      </c>
      <c r="V21" s="36">
        <f t="shared" si="4"/>
        <v>262.0368667349199</v>
      </c>
      <c r="W21" s="6"/>
      <c r="X21" s="6"/>
      <c r="Y21" s="6"/>
    </row>
    <row r="22" spans="1:25" ht="12.75">
      <c r="A22" s="8">
        <v>22</v>
      </c>
      <c r="B22" s="41">
        <v>35551</v>
      </c>
      <c r="C22" s="23">
        <f>'Salários Mínimos'!C280</f>
        <v>120</v>
      </c>
      <c r="D22" s="23">
        <f t="shared" si="5"/>
        <v>360</v>
      </c>
      <c r="E22" s="24">
        <f t="shared" si="15"/>
        <v>24</v>
      </c>
      <c r="F22" s="25">
        <v>49.58</v>
      </c>
      <c r="G22" s="25">
        <f t="shared" si="6"/>
        <v>17.307927272727273</v>
      </c>
      <c r="H22" s="40">
        <f t="shared" si="7"/>
        <v>1.8241269421487605</v>
      </c>
      <c r="I22" s="206"/>
      <c r="J22" s="8">
        <f t="shared" si="0"/>
        <v>22</v>
      </c>
      <c r="K22" s="41">
        <v>35551</v>
      </c>
      <c r="L22" s="25">
        <v>71.23</v>
      </c>
      <c r="M22" s="25">
        <f t="shared" si="8"/>
        <v>194.89884313388433</v>
      </c>
      <c r="N22" s="40">
        <f t="shared" si="14"/>
        <v>35.367795067768604</v>
      </c>
      <c r="O22" s="25">
        <f t="shared" si="9"/>
        <v>271.5745654743802</v>
      </c>
      <c r="P22" s="34">
        <f>'INSS Emp-Emprg'!D26</f>
        <v>21.237131020096534</v>
      </c>
      <c r="Q22" s="8">
        <f t="shared" si="1"/>
        <v>22</v>
      </c>
      <c r="R22" s="35">
        <f t="shared" si="10"/>
        <v>35551</v>
      </c>
      <c r="S22" s="26">
        <f t="shared" si="12"/>
        <v>250.33743445428368</v>
      </c>
      <c r="T22" s="26">
        <f t="shared" si="11"/>
        <v>21.72596523795042</v>
      </c>
      <c r="U22" s="23">
        <f t="shared" si="13"/>
        <v>8.690386095180168</v>
      </c>
      <c r="V22" s="36">
        <f t="shared" si="4"/>
        <v>280.75378578741424</v>
      </c>
      <c r="W22" s="6"/>
      <c r="X22" s="6"/>
      <c r="Y22" s="6"/>
    </row>
    <row r="23" spans="1:25" ht="12.75">
      <c r="A23" s="8">
        <v>23</v>
      </c>
      <c r="B23" s="41">
        <v>35582</v>
      </c>
      <c r="C23" s="23">
        <f>'Salários Mínimos'!C281</f>
        <v>120</v>
      </c>
      <c r="D23" s="23">
        <f t="shared" si="5"/>
        <v>360</v>
      </c>
      <c r="E23" s="24">
        <f t="shared" si="15"/>
        <v>24</v>
      </c>
      <c r="F23" s="25">
        <v>49.58</v>
      </c>
      <c r="G23" s="25">
        <f t="shared" si="6"/>
        <v>17.307927272727273</v>
      </c>
      <c r="H23" s="40">
        <f t="shared" si="7"/>
        <v>1.8241269421487605</v>
      </c>
      <c r="I23" s="206"/>
      <c r="J23" s="8">
        <f t="shared" si="0"/>
        <v>23</v>
      </c>
      <c r="K23" s="41">
        <v>35582</v>
      </c>
      <c r="L23" s="25">
        <v>71.23</v>
      </c>
      <c r="M23" s="25">
        <f t="shared" si="8"/>
        <v>194.89884313388433</v>
      </c>
      <c r="N23" s="40">
        <f t="shared" si="14"/>
        <v>35.367795067768604</v>
      </c>
      <c r="O23" s="25">
        <f t="shared" si="9"/>
        <v>271.5745654743802</v>
      </c>
      <c r="P23" s="34">
        <f>'INSS Emp-Emprg'!D27</f>
        <v>21.237131020096534</v>
      </c>
      <c r="Q23" s="8">
        <f t="shared" si="1"/>
        <v>23</v>
      </c>
      <c r="R23" s="35">
        <f t="shared" si="10"/>
        <v>35582</v>
      </c>
      <c r="S23" s="26">
        <f t="shared" si="12"/>
        <v>250.33743445428368</v>
      </c>
      <c r="T23" s="26">
        <f t="shared" si="11"/>
        <v>21.72596523795042</v>
      </c>
      <c r="U23" s="23">
        <f t="shared" si="13"/>
        <v>8.690386095180168</v>
      </c>
      <c r="V23" s="36">
        <f t="shared" si="4"/>
        <v>280.75378578741424</v>
      </c>
      <c r="W23" s="6"/>
      <c r="X23" s="6"/>
      <c r="Y23" s="6"/>
    </row>
    <row r="24" spans="1:25" ht="12.75">
      <c r="A24" s="8">
        <v>24</v>
      </c>
      <c r="B24" s="41">
        <v>35612</v>
      </c>
      <c r="C24" s="23">
        <f>'Salários Mínimos'!C282</f>
        <v>120</v>
      </c>
      <c r="D24" s="23">
        <f t="shared" si="5"/>
        <v>360</v>
      </c>
      <c r="E24" s="24">
        <f t="shared" si="15"/>
        <v>24</v>
      </c>
      <c r="F24" s="25">
        <v>49.58</v>
      </c>
      <c r="G24" s="25">
        <f t="shared" si="6"/>
        <v>17.307927272727273</v>
      </c>
      <c r="H24" s="40">
        <f t="shared" si="7"/>
        <v>1.8241269421487605</v>
      </c>
      <c r="I24" s="206"/>
      <c r="J24" s="8">
        <f t="shared" si="0"/>
        <v>24</v>
      </c>
      <c r="K24" s="41">
        <v>35612</v>
      </c>
      <c r="L24" s="25">
        <v>71.23</v>
      </c>
      <c r="M24" s="25">
        <f t="shared" si="8"/>
        <v>194.89884313388433</v>
      </c>
      <c r="N24" s="40">
        <f>(G24+M24)/6</f>
        <v>35.367795067768604</v>
      </c>
      <c r="O24" s="25">
        <f t="shared" si="9"/>
        <v>271.5745654743802</v>
      </c>
      <c r="P24" s="34">
        <f>'INSS Emp-Emprg'!D28</f>
        <v>21.237131020096534</v>
      </c>
      <c r="Q24" s="8">
        <f t="shared" si="1"/>
        <v>24</v>
      </c>
      <c r="R24" s="35">
        <f t="shared" si="10"/>
        <v>35612</v>
      </c>
      <c r="S24" s="26">
        <f>O24-P24</f>
        <v>250.33743445428368</v>
      </c>
      <c r="T24" s="26">
        <f t="shared" si="11"/>
        <v>21.72596523795042</v>
      </c>
      <c r="U24" s="23">
        <f>T24*40%</f>
        <v>8.690386095180168</v>
      </c>
      <c r="V24" s="36">
        <f t="shared" si="4"/>
        <v>280.75378578741424</v>
      </c>
      <c r="W24" s="28"/>
      <c r="X24" s="6"/>
      <c r="Y24" s="6"/>
    </row>
    <row r="25" spans="1:25" ht="13.5" thickBot="1">
      <c r="A25" s="8">
        <v>25</v>
      </c>
      <c r="B25" s="41">
        <v>35643</v>
      </c>
      <c r="C25" s="23">
        <f>'Salários Mínimos'!C283</f>
        <v>120</v>
      </c>
      <c r="D25" s="23">
        <f t="shared" si="5"/>
        <v>360</v>
      </c>
      <c r="E25" s="24">
        <f t="shared" si="15"/>
        <v>24</v>
      </c>
      <c r="F25" s="25">
        <v>49.58</v>
      </c>
      <c r="G25" s="25">
        <f t="shared" si="6"/>
        <v>17.307927272727273</v>
      </c>
      <c r="H25" s="40">
        <f t="shared" si="7"/>
        <v>1.8241269421487605</v>
      </c>
      <c r="I25" s="206"/>
      <c r="J25" s="8">
        <f t="shared" si="0"/>
        <v>25</v>
      </c>
      <c r="K25" s="41">
        <v>35643</v>
      </c>
      <c r="L25" s="25">
        <v>71.23</v>
      </c>
      <c r="M25" s="25">
        <f t="shared" si="8"/>
        <v>194.89884313388433</v>
      </c>
      <c r="N25" s="40">
        <f>(G25+M25)/6</f>
        <v>35.367795067768604</v>
      </c>
      <c r="O25" s="25">
        <f t="shared" si="9"/>
        <v>271.5745654743802</v>
      </c>
      <c r="P25" s="34">
        <f>'INSS Emp-Emprg'!D29</f>
        <v>21.237131020096534</v>
      </c>
      <c r="Q25" s="8">
        <f t="shared" si="1"/>
        <v>25</v>
      </c>
      <c r="R25" s="214">
        <f t="shared" si="10"/>
        <v>35643</v>
      </c>
      <c r="S25" s="26">
        <f>O25-P25</f>
        <v>250.33743445428368</v>
      </c>
      <c r="T25" s="26">
        <f t="shared" si="11"/>
        <v>21.72596523795042</v>
      </c>
      <c r="U25" s="31">
        <f>T25*40%</f>
        <v>8.690386095180168</v>
      </c>
      <c r="V25" s="37">
        <f t="shared" si="4"/>
        <v>280.75378578741424</v>
      </c>
      <c r="W25" s="28"/>
      <c r="X25" s="6"/>
      <c r="Y25" s="6"/>
    </row>
    <row r="26" spans="1:25" ht="13.5" thickBot="1">
      <c r="A26" s="8">
        <v>26</v>
      </c>
      <c r="B26" s="306" t="s">
        <v>11</v>
      </c>
      <c r="C26" s="307"/>
      <c r="D26" s="307"/>
      <c r="E26" s="308"/>
      <c r="F26" s="53">
        <f>F25</f>
        <v>49.58</v>
      </c>
      <c r="G26" s="309"/>
      <c r="H26" s="310"/>
      <c r="I26" s="207"/>
      <c r="J26" s="8">
        <f t="shared" si="0"/>
        <v>26</v>
      </c>
      <c r="K26" s="202" t="str">
        <f>B26</f>
        <v>TOTAL</v>
      </c>
      <c r="L26" s="54">
        <f>L25</f>
        <v>71.23</v>
      </c>
      <c r="M26" s="309"/>
      <c r="N26" s="310"/>
      <c r="O26" s="43">
        <f>SUM(O7:O25)</f>
        <v>4788.518522365997</v>
      </c>
      <c r="P26" s="43">
        <f>SUM(P7:P25)</f>
        <v>379.3011638378763</v>
      </c>
      <c r="Q26" s="8">
        <f t="shared" si="1"/>
        <v>26</v>
      </c>
      <c r="R26" s="197" t="str">
        <f t="shared" si="10"/>
        <v>TOTAL</v>
      </c>
      <c r="S26" s="43">
        <f>SUM(S7:S25)</f>
        <v>4409.217358528121</v>
      </c>
      <c r="T26" s="43">
        <f>SUM(T7:T25)</f>
        <v>383.08148178927956</v>
      </c>
      <c r="U26" s="43">
        <f>SUM(U7:U25)</f>
        <v>153.23259271571195</v>
      </c>
      <c r="V26" s="43">
        <f>SUM(V7:V25)</f>
        <v>4945.53143303311</v>
      </c>
      <c r="W26" s="6"/>
      <c r="X26" s="6"/>
      <c r="Y26" s="6"/>
    </row>
    <row r="27" spans="1:18" ht="12.75">
      <c r="A27" s="97"/>
      <c r="P27" s="42"/>
      <c r="Q27" s="88"/>
      <c r="R27" s="42"/>
    </row>
    <row r="28" spans="2:20" ht="12.75">
      <c r="B28" s="46" t="s">
        <v>112</v>
      </c>
      <c r="C28" s="46"/>
      <c r="K28" s="46" t="s">
        <v>112</v>
      </c>
      <c r="L28" s="46"/>
      <c r="P28" s="42"/>
      <c r="Q28" s="88"/>
      <c r="R28" s="42"/>
      <c r="S28" s="46" t="s">
        <v>112</v>
      </c>
      <c r="T28" s="46"/>
    </row>
    <row r="29" spans="2:20" ht="6" customHeight="1">
      <c r="B29" s="46"/>
      <c r="C29" s="46"/>
      <c r="K29" s="46"/>
      <c r="L29" s="46"/>
      <c r="P29" s="42"/>
      <c r="Q29" s="88"/>
      <c r="R29" s="42"/>
      <c r="S29" s="46"/>
      <c r="T29" s="46"/>
    </row>
    <row r="30" spans="2:20" ht="12.75">
      <c r="B30" s="253" t="s">
        <v>113</v>
      </c>
      <c r="C30" s="253"/>
      <c r="K30" s="212" t="s">
        <v>114</v>
      </c>
      <c r="L30" s="46"/>
      <c r="S30" s="46" t="s">
        <v>118</v>
      </c>
      <c r="T30" s="46"/>
    </row>
    <row r="31" spans="2:20" ht="12.75">
      <c r="B31" s="46" t="s">
        <v>104</v>
      </c>
      <c r="C31" s="46"/>
      <c r="K31" s="212" t="s">
        <v>115</v>
      </c>
      <c r="L31" s="46"/>
      <c r="S31" s="46" t="s">
        <v>119</v>
      </c>
      <c r="T31" s="46"/>
    </row>
    <row r="32" spans="2:20" ht="12.75">
      <c r="B32" s="46" t="s">
        <v>126</v>
      </c>
      <c r="C32" s="46"/>
      <c r="K32" s="212" t="s">
        <v>116</v>
      </c>
      <c r="L32" s="46"/>
      <c r="S32" s="46" t="s">
        <v>309</v>
      </c>
      <c r="T32" s="46"/>
    </row>
    <row r="33" spans="2:19" ht="12.75">
      <c r="B33" s="46" t="s">
        <v>105</v>
      </c>
      <c r="C33" s="46"/>
      <c r="K33" s="212" t="s">
        <v>117</v>
      </c>
      <c r="L33" s="46"/>
      <c r="S33" s="46" t="s">
        <v>310</v>
      </c>
    </row>
    <row r="34" spans="2:3" ht="12.75">
      <c r="B34" s="46" t="s">
        <v>106</v>
      </c>
      <c r="C34" s="46"/>
    </row>
  </sheetData>
  <mergeCells count="3">
    <mergeCell ref="B26:E26"/>
    <mergeCell ref="G26:H26"/>
    <mergeCell ref="M26:N26"/>
  </mergeCells>
  <printOptions horizontalCentered="1" verticalCentered="1"/>
  <pageMargins left="0.7874015748031497" right="0.3937007874015748" top="0.9055118110236221" bottom="0.8661417322834646" header="0.31496062992125984" footer="0.4724409448818898"/>
  <pageSetup horizontalDpi="300" verticalDpi="300" orientation="portrait" paperSize="9" r:id="rId1"/>
  <headerFooter alignWithMargins="0">
    <oddHeader>&amp;CPlanilha Exercício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1">
      <selection activeCell="A1" sqref="A1:F43"/>
    </sheetView>
  </sheetViews>
  <sheetFormatPr defaultColWidth="9.140625" defaultRowHeight="12.75"/>
  <cols>
    <col min="1" max="1" width="15.8515625" style="0" customWidth="1"/>
    <col min="2" max="2" width="12.00390625" style="0" bestFit="1" customWidth="1"/>
    <col min="3" max="3" width="12.00390625" style="0" customWidth="1"/>
    <col min="4" max="4" width="11.140625" style="0" customWidth="1"/>
    <col min="5" max="5" width="10.140625" style="0" customWidth="1"/>
    <col min="6" max="6" width="25.7109375" style="0" customWidth="1"/>
    <col min="7" max="7" width="10.140625" style="0" bestFit="1" customWidth="1"/>
  </cols>
  <sheetData>
    <row r="1" spans="1:6" ht="12.75">
      <c r="A1" s="122" t="str">
        <f>'[1]Planilha'!B1</f>
        <v>PROCESSO:33/96 DA  33a.VT/RJ</v>
      </c>
      <c r="B1" s="123"/>
      <c r="C1" s="123"/>
      <c r="D1" s="123"/>
      <c r="E1" s="123"/>
      <c r="F1" s="124"/>
    </row>
    <row r="2" spans="1:6" ht="12.75">
      <c r="A2" s="125" t="str">
        <f>'[1]Planilha'!B2</f>
        <v>RTE: JOÃO DA SILVA</v>
      </c>
      <c r="B2" s="126"/>
      <c r="C2" s="126"/>
      <c r="D2" s="126"/>
      <c r="E2" s="126"/>
      <c r="F2" s="127"/>
    </row>
    <row r="3" spans="1:6" ht="13.5" thickBot="1">
      <c r="A3" s="128" t="str">
        <f>'[1]Planilha'!B3</f>
        <v>RDA: DELTA LTDA.</v>
      </c>
      <c r="B3" s="129"/>
      <c r="C3" s="129"/>
      <c r="D3" s="129"/>
      <c r="E3" s="129"/>
      <c r="F3" s="130"/>
    </row>
    <row r="4" spans="1:6" ht="13.5" thickBot="1">
      <c r="A4" s="131"/>
      <c r="B4" s="132"/>
      <c r="C4" s="132"/>
      <c r="D4" s="132"/>
      <c r="E4" s="132"/>
      <c r="F4" s="120"/>
    </row>
    <row r="5" spans="1:6" ht="13.5" thickBot="1">
      <c r="A5" s="329" t="s">
        <v>82</v>
      </c>
      <c r="B5" s="330"/>
      <c r="C5" s="330"/>
      <c r="D5" s="330"/>
      <c r="E5" s="330"/>
      <c r="F5" s="331"/>
    </row>
    <row r="6" spans="1:6" ht="13.5" thickBot="1">
      <c r="A6" s="332"/>
      <c r="B6" s="333"/>
      <c r="C6" s="333"/>
      <c r="D6" s="333"/>
      <c r="E6" s="333"/>
      <c r="F6" s="334"/>
    </row>
    <row r="7" spans="1:6" ht="13.5" thickBot="1">
      <c r="A7" s="335" t="s">
        <v>311</v>
      </c>
      <c r="B7" s="336"/>
      <c r="C7" s="336"/>
      <c r="D7" s="336"/>
      <c r="E7" s="336"/>
      <c r="F7" s="337"/>
    </row>
    <row r="8" spans="1:7" ht="13.5" thickBot="1">
      <c r="A8" s="332"/>
      <c r="B8" s="333"/>
      <c r="C8" s="333"/>
      <c r="D8" s="333"/>
      <c r="E8" s="333"/>
      <c r="F8" s="334"/>
      <c r="G8" s="252">
        <v>35719</v>
      </c>
    </row>
    <row r="9" spans="1:7" ht="12.75">
      <c r="A9" s="133" t="s">
        <v>23</v>
      </c>
      <c r="B9" s="134" t="s">
        <v>83</v>
      </c>
      <c r="C9" s="135" t="s">
        <v>84</v>
      </c>
      <c r="D9" s="136" t="s">
        <v>85</v>
      </c>
      <c r="E9" s="136" t="s">
        <v>86</v>
      </c>
      <c r="F9" s="137" t="s">
        <v>87</v>
      </c>
      <c r="G9" s="252">
        <v>38990</v>
      </c>
    </row>
    <row r="10" spans="1:6" ht="12.75">
      <c r="A10" s="138" t="s">
        <v>25</v>
      </c>
      <c r="B10" s="139" t="s">
        <v>88</v>
      </c>
      <c r="C10" s="139" t="s">
        <v>49</v>
      </c>
      <c r="D10" s="140" t="s">
        <v>89</v>
      </c>
      <c r="E10" s="140" t="s">
        <v>42</v>
      </c>
      <c r="F10" s="141" t="s">
        <v>123</v>
      </c>
    </row>
    <row r="11" spans="1:7" ht="12.75">
      <c r="A11" s="142">
        <f>Planilha!B7</f>
        <v>35125</v>
      </c>
      <c r="B11" s="143">
        <f>Planilha!S7</f>
        <v>208.20716686369147</v>
      </c>
      <c r="C11" s="224" t="str">
        <f>'Indice de CM'!B10</f>
        <v>    1,602398547</v>
      </c>
      <c r="D11" s="143">
        <f>B11*C11</f>
        <v>333.63086165736576</v>
      </c>
      <c r="E11" s="143">
        <f>D11*107.47%</f>
        <v>358.553087023171</v>
      </c>
      <c r="F11" s="145">
        <f>D11+E11</f>
        <v>692.1839486805368</v>
      </c>
      <c r="G11" s="283">
        <f>DAYS360(G8,G9)/3000</f>
        <v>1.0746666666666667</v>
      </c>
    </row>
    <row r="12" spans="1:7" ht="12.75">
      <c r="A12" s="142">
        <f>Planilha!B8</f>
        <v>35156</v>
      </c>
      <c r="B12" s="143">
        <f>Planilha!S8</f>
        <v>208.20716686369147</v>
      </c>
      <c r="C12" s="224" t="str">
        <f>'Indice de CM'!B11</f>
        <v>    1,589461916</v>
      </c>
      <c r="D12" s="143">
        <f aca="true" t="shared" si="0" ref="D12:D34">B12*C12</f>
        <v>330.9373623680948</v>
      </c>
      <c r="E12" s="143">
        <f aca="true" t="shared" si="1" ref="E12:E34">D12*107.47%</f>
        <v>355.65838333699145</v>
      </c>
      <c r="F12" s="145">
        <f aca="true" t="shared" si="2" ref="F12:F34">D12+E12</f>
        <v>686.5957457050863</v>
      </c>
      <c r="G12" s="254" t="s">
        <v>12</v>
      </c>
    </row>
    <row r="13" spans="1:6" ht="12.75">
      <c r="A13" s="142">
        <f>Planilha!B9</f>
        <v>35186</v>
      </c>
      <c r="B13" s="143">
        <f>Planilha!S9</f>
        <v>233.19202688733444</v>
      </c>
      <c r="C13" s="224" t="str">
        <f>'Indice de CM'!B12</f>
        <v>    1,579044957</v>
      </c>
      <c r="D13" s="143">
        <f t="shared" si="0"/>
        <v>368.2206940690539</v>
      </c>
      <c r="E13" s="143">
        <f t="shared" si="1"/>
        <v>395.7267799160122</v>
      </c>
      <c r="F13" s="145">
        <f t="shared" si="2"/>
        <v>763.9474739850662</v>
      </c>
    </row>
    <row r="14" spans="1:6" ht="12.75">
      <c r="A14" s="142">
        <f>Planilha!B10</f>
        <v>35217</v>
      </c>
      <c r="B14" s="143">
        <f>Planilha!S10</f>
        <v>233.19202688733444</v>
      </c>
      <c r="C14" s="224" t="str">
        <f>'Indice de CM'!B13</f>
        <v>    1,569801963</v>
      </c>
      <c r="D14" s="143">
        <f t="shared" si="0"/>
        <v>366.0653015636864</v>
      </c>
      <c r="E14" s="143">
        <f t="shared" si="1"/>
        <v>393.41037959049373</v>
      </c>
      <c r="F14" s="145">
        <f t="shared" si="2"/>
        <v>759.4756811541802</v>
      </c>
    </row>
    <row r="15" spans="1:6" ht="12.75">
      <c r="A15" s="142">
        <f>Planilha!B11</f>
        <v>35247</v>
      </c>
      <c r="B15" s="143">
        <f>Planilha!S11</f>
        <v>233.19202688733444</v>
      </c>
      <c r="C15" s="224" t="str">
        <f>'Indice de CM'!B14</f>
        <v>    1,560285780</v>
      </c>
      <c r="D15" s="143">
        <f t="shared" si="0"/>
        <v>363.84620356168557</v>
      </c>
      <c r="E15" s="143">
        <f t="shared" si="1"/>
        <v>391.0255149677435</v>
      </c>
      <c r="F15" s="145">
        <f t="shared" si="2"/>
        <v>754.871718529429</v>
      </c>
    </row>
    <row r="16" spans="1:6" ht="12.75">
      <c r="A16" s="142">
        <f>Planilha!B12</f>
        <v>35278</v>
      </c>
      <c r="B16" s="143">
        <f>Planilha!S12</f>
        <v>233.19202688733444</v>
      </c>
      <c r="C16" s="224" t="str">
        <f>'Indice de CM'!B15</f>
        <v>    1,551209652</v>
      </c>
      <c r="D16" s="143">
        <f t="shared" si="0"/>
        <v>361.7297228770767</v>
      </c>
      <c r="E16" s="143">
        <f t="shared" si="1"/>
        <v>388.75093317599436</v>
      </c>
      <c r="F16" s="145">
        <f t="shared" si="2"/>
        <v>750.480656053071</v>
      </c>
    </row>
    <row r="17" spans="1:6" ht="12.75">
      <c r="A17" s="142">
        <f>Planilha!B13</f>
        <v>35309</v>
      </c>
      <c r="B17" s="143">
        <f>Planilha!S13</f>
        <v>233.19202688733444</v>
      </c>
      <c r="C17" s="224" t="str">
        <f>'Indice de CM'!B16</f>
        <v>    1,541536511</v>
      </c>
      <c r="D17" s="143">
        <f t="shared" si="0"/>
        <v>359.47402352091973</v>
      </c>
      <c r="E17" s="143">
        <f t="shared" si="1"/>
        <v>386.32673307793243</v>
      </c>
      <c r="F17" s="145">
        <f t="shared" si="2"/>
        <v>745.8007565988521</v>
      </c>
    </row>
    <row r="18" spans="1:6" ht="12.75">
      <c r="A18" s="142">
        <f>Planilha!B14</f>
        <v>35339</v>
      </c>
      <c r="B18" s="143">
        <f>Planilha!S14</f>
        <v>233.19202688733444</v>
      </c>
      <c r="C18" s="224" t="str">
        <f>'Indice de CM'!B17</f>
        <v>    1,531398651</v>
      </c>
      <c r="D18" s="143">
        <f t="shared" si="0"/>
        <v>357.10995539921964</v>
      </c>
      <c r="E18" s="143">
        <f t="shared" si="1"/>
        <v>383.78606906754135</v>
      </c>
      <c r="F18" s="145">
        <f t="shared" si="2"/>
        <v>740.896024466761</v>
      </c>
    </row>
    <row r="19" spans="1:6" ht="12.75">
      <c r="A19" s="142">
        <f>Planilha!B15</f>
        <v>35370</v>
      </c>
      <c r="B19" s="143">
        <f>Planilha!S15</f>
        <v>233.19202688733444</v>
      </c>
      <c r="C19" s="224" t="str">
        <f>'Indice de CM'!B18</f>
        <v>    1,520120875</v>
      </c>
      <c r="D19" s="143">
        <f t="shared" si="0"/>
        <v>354.48006795499833</v>
      </c>
      <c r="E19" s="143">
        <f t="shared" si="1"/>
        <v>380.9597290312367</v>
      </c>
      <c r="F19" s="145">
        <f t="shared" si="2"/>
        <v>735.439796986235</v>
      </c>
    </row>
    <row r="20" spans="1:6" ht="12" customHeight="1">
      <c r="A20" s="142">
        <f>Planilha!B16</f>
        <v>35400</v>
      </c>
      <c r="B20" s="143">
        <f>Planilha!S16</f>
        <v>233.19202688733444</v>
      </c>
      <c r="C20" s="224" t="str">
        <f>'Indice de CM'!B19</f>
        <v>    1,507838026</v>
      </c>
      <c r="D20" s="143">
        <f t="shared" si="0"/>
        <v>351.6158055007373</v>
      </c>
      <c r="E20" s="143">
        <f t="shared" si="1"/>
        <v>377.88150617164234</v>
      </c>
      <c r="F20" s="145">
        <f t="shared" si="2"/>
        <v>729.4973116723796</v>
      </c>
    </row>
    <row r="21" spans="1:6" ht="12.75">
      <c r="A21" s="142" t="str">
        <f>Planilha!B17</f>
        <v>13º/96</v>
      </c>
      <c r="B21" s="143">
        <f>Planilha!S17</f>
        <v>191.3239832556015</v>
      </c>
      <c r="C21" s="225" t="str">
        <f>C20</f>
        <v>    1,507838026</v>
      </c>
      <c r="D21" s="143">
        <f t="shared" si="0"/>
        <v>288.4855772385832</v>
      </c>
      <c r="E21" s="143">
        <f t="shared" si="1"/>
        <v>310.03544985830536</v>
      </c>
      <c r="F21" s="146">
        <f t="shared" si="2"/>
        <v>598.5210270968885</v>
      </c>
    </row>
    <row r="22" spans="1:6" ht="12.75">
      <c r="A22" s="142">
        <f>Planilha!B18</f>
        <v>35431</v>
      </c>
      <c r="B22" s="143">
        <f>Planilha!S18</f>
        <v>233.64827215733138</v>
      </c>
      <c r="C22" s="224" t="str">
        <f>'Indice de CM'!C8</f>
        <v>    1,494807787</v>
      </c>
      <c r="D22" s="143">
        <f t="shared" si="0"/>
        <v>349.25925663987425</v>
      </c>
      <c r="E22" s="143">
        <f t="shared" si="1"/>
        <v>375.3489231108729</v>
      </c>
      <c r="F22" s="145">
        <f t="shared" si="2"/>
        <v>724.6081797507471</v>
      </c>
    </row>
    <row r="23" spans="1:6" ht="12.75">
      <c r="A23" s="142">
        <f>Planilha!B19</f>
        <v>35462</v>
      </c>
      <c r="B23" s="143">
        <f>Planilha!S19</f>
        <v>233.64827215733138</v>
      </c>
      <c r="C23" s="224" t="str">
        <f>'Indice de CM'!C9</f>
        <v>    1,483768549</v>
      </c>
      <c r="D23" s="143">
        <f t="shared" si="0"/>
        <v>346.6799577552407</v>
      </c>
      <c r="E23" s="143">
        <f t="shared" si="1"/>
        <v>372.57695059955716</v>
      </c>
      <c r="F23" s="145">
        <f t="shared" si="2"/>
        <v>719.2569083547978</v>
      </c>
    </row>
    <row r="24" spans="1:6" ht="12.75">
      <c r="A24" s="142">
        <f>Planilha!B20</f>
        <v>35490</v>
      </c>
      <c r="B24" s="143">
        <f>Planilha!S20</f>
        <v>233.64827215733138</v>
      </c>
      <c r="C24" s="224" t="str">
        <f>'Indice de CM'!C10</f>
        <v>    1,474016456</v>
      </c>
      <c r="D24" s="143">
        <f t="shared" si="0"/>
        <v>344.4013980758731</v>
      </c>
      <c r="E24" s="143">
        <f t="shared" si="1"/>
        <v>370.1281825121408</v>
      </c>
      <c r="F24" s="145">
        <f t="shared" si="2"/>
        <v>714.5295805880139</v>
      </c>
    </row>
    <row r="25" spans="1:6" ht="12.75">
      <c r="A25" s="142">
        <f>Planilha!B21</f>
        <v>35521</v>
      </c>
      <c r="B25" s="143">
        <f>Planilha!S21</f>
        <v>233.64827215733138</v>
      </c>
      <c r="C25" s="224" t="str">
        <f>'Indice de CM'!C11</f>
        <v>    1,464765000</v>
      </c>
      <c r="D25" s="143">
        <f t="shared" si="0"/>
        <v>342.2398113665335</v>
      </c>
      <c r="E25" s="143">
        <f t="shared" si="1"/>
        <v>367.80512527561353</v>
      </c>
      <c r="F25" s="145">
        <f t="shared" si="2"/>
        <v>710.044936642147</v>
      </c>
    </row>
    <row r="26" spans="1:6" ht="12.75">
      <c r="A26" s="142">
        <f>Planilha!B22</f>
        <v>35551</v>
      </c>
      <c r="B26" s="143">
        <f>Planilha!S22</f>
        <v>250.33743445428368</v>
      </c>
      <c r="C26" s="224" t="str">
        <f>'Indice de CM'!C12</f>
        <v>    1,455723501</v>
      </c>
      <c r="D26" s="143">
        <f t="shared" si="0"/>
        <v>364.4220865151479</v>
      </c>
      <c r="E26" s="143">
        <f t="shared" si="1"/>
        <v>391.64441637782943</v>
      </c>
      <c r="F26" s="145">
        <f t="shared" si="2"/>
        <v>756.0665028929773</v>
      </c>
    </row>
    <row r="27" spans="1:6" ht="12.75">
      <c r="A27" s="142">
        <f>Planilha!B23</f>
        <v>35582</v>
      </c>
      <c r="B27" s="143">
        <f>Planilha!S23</f>
        <v>250.33743445428368</v>
      </c>
      <c r="C27" s="224" t="str">
        <f>'Indice de CM'!C13</f>
        <v>    1,446532236</v>
      </c>
      <c r="D27" s="143">
        <f t="shared" si="0"/>
        <v>362.1211688156584</v>
      </c>
      <c r="E27" s="143">
        <f t="shared" si="1"/>
        <v>389.1716201261881</v>
      </c>
      <c r="F27" s="145">
        <f t="shared" si="2"/>
        <v>751.2927889418465</v>
      </c>
    </row>
    <row r="28" spans="1:6" ht="12.75">
      <c r="A28" s="142">
        <f>Planilha!B24</f>
        <v>35612</v>
      </c>
      <c r="B28" s="143">
        <f>Planilha!S24</f>
        <v>250.33743445428368</v>
      </c>
      <c r="C28" s="224" t="str">
        <f>'Indice de CM'!C14</f>
        <v>    1,437140522</v>
      </c>
      <c r="D28" s="143">
        <f t="shared" si="0"/>
        <v>359.77007122777</v>
      </c>
      <c r="E28" s="143">
        <f t="shared" si="1"/>
        <v>386.64489554848444</v>
      </c>
      <c r="F28" s="145">
        <f t="shared" si="2"/>
        <v>746.4149667762545</v>
      </c>
    </row>
    <row r="29" spans="1:6" ht="12.75">
      <c r="A29" s="142">
        <f>Planilha!B25</f>
        <v>35643</v>
      </c>
      <c r="B29" s="143">
        <f>Planilha!S25</f>
        <v>250.33743445428368</v>
      </c>
      <c r="C29" s="224" t="str">
        <f>'Indice de CM'!C15</f>
        <v>    1,427745954</v>
      </c>
      <c r="D29" s="143">
        <f t="shared" si="0"/>
        <v>357.4182591768437</v>
      </c>
      <c r="E29" s="143">
        <f t="shared" si="1"/>
        <v>384.11740313735396</v>
      </c>
      <c r="F29" s="145">
        <f t="shared" si="2"/>
        <v>741.5356623141977</v>
      </c>
    </row>
    <row r="30" spans="1:6" ht="12.75">
      <c r="A30" s="142" t="s">
        <v>102</v>
      </c>
      <c r="B30" s="143">
        <f>Apurações!F20-Apurações!F29</f>
        <v>166.8916229695225</v>
      </c>
      <c r="C30" s="225" t="str">
        <f>C29</f>
        <v>    1,427745954</v>
      </c>
      <c r="D30" s="143">
        <f t="shared" si="0"/>
        <v>238.2788394512292</v>
      </c>
      <c r="E30" s="143">
        <f t="shared" si="1"/>
        <v>256.07826875823605</v>
      </c>
      <c r="F30" s="145">
        <f t="shared" si="2"/>
        <v>494.35710820946525</v>
      </c>
    </row>
    <row r="31" spans="1:6" ht="12.75">
      <c r="A31" s="142" t="s">
        <v>120</v>
      </c>
      <c r="B31" s="143">
        <f>Apurações!F21</f>
        <v>22.631213789531692</v>
      </c>
      <c r="C31" s="225" t="str">
        <f>C30</f>
        <v>    1,427745954</v>
      </c>
      <c r="D31" s="143">
        <f t="shared" si="0"/>
        <v>32.31162392211288</v>
      </c>
      <c r="E31" s="143">
        <f t="shared" si="1"/>
        <v>34.72530222909471</v>
      </c>
      <c r="F31" s="145">
        <f t="shared" si="2"/>
        <v>67.03692615120758</v>
      </c>
    </row>
    <row r="32" spans="1:6" ht="12.75">
      <c r="A32" s="148" t="s">
        <v>307</v>
      </c>
      <c r="B32" s="143">
        <f>Apurações!F22</f>
        <v>271.5745654743803</v>
      </c>
      <c r="C32" s="225" t="str">
        <f>C31</f>
        <v>    1,427745954</v>
      </c>
      <c r="D32" s="143">
        <f t="shared" si="0"/>
        <v>387.7394870653545</v>
      </c>
      <c r="E32" s="143">
        <f t="shared" si="1"/>
        <v>416.7036267491365</v>
      </c>
      <c r="F32" s="145">
        <f t="shared" si="2"/>
        <v>804.443113814491</v>
      </c>
    </row>
    <row r="33" spans="1:6" ht="12.75">
      <c r="A33" s="142" t="s">
        <v>90</v>
      </c>
      <c r="B33" s="143">
        <f>Apurações!F23</f>
        <v>158.41849652672187</v>
      </c>
      <c r="C33" s="225" t="str">
        <f>C32</f>
        <v>    1,427745954</v>
      </c>
      <c r="D33" s="143">
        <f t="shared" si="0"/>
        <v>226.18136745479018</v>
      </c>
      <c r="E33" s="143">
        <f t="shared" si="1"/>
        <v>243.077115603663</v>
      </c>
      <c r="F33" s="147">
        <f t="shared" si="2"/>
        <v>469.2584830584532</v>
      </c>
    </row>
    <row r="34" spans="1:6" ht="12.75">
      <c r="A34" s="142" t="s">
        <v>91</v>
      </c>
      <c r="B34" s="143">
        <f>Apurações!F24</f>
        <v>143.331020667034</v>
      </c>
      <c r="C34" s="225" t="str">
        <f>C33</f>
        <v>    1,427745954</v>
      </c>
      <c r="D34" s="143">
        <f t="shared" si="0"/>
        <v>204.64028484004817</v>
      </c>
      <c r="E34" s="143">
        <f t="shared" si="1"/>
        <v>219.92691411759975</v>
      </c>
      <c r="F34" s="147">
        <f t="shared" si="2"/>
        <v>424.5671989576479</v>
      </c>
    </row>
    <row r="35" spans="1:6" ht="12.75">
      <c r="A35" s="149" t="s">
        <v>75</v>
      </c>
      <c r="B35" s="150">
        <f>SUM(B28:B34)</f>
        <v>1263.5217883357577</v>
      </c>
      <c r="C35" s="151"/>
      <c r="D35" s="152">
        <f>SUM(D11:D34)</f>
        <v>7751.059188017897</v>
      </c>
      <c r="E35" s="152">
        <f>SUM(E11:E34)</f>
        <v>8330.063309362833</v>
      </c>
      <c r="F35" s="153">
        <f>SUM(F11:F34)</f>
        <v>16081.122497380733</v>
      </c>
    </row>
    <row r="36" spans="1:6" ht="12.75">
      <c r="A36" s="149" t="s">
        <v>92</v>
      </c>
      <c r="B36" s="154">
        <v>0.275</v>
      </c>
      <c r="C36" s="155">
        <v>502.58</v>
      </c>
      <c r="D36" s="156">
        <f>F35</f>
        <v>16081.122497380733</v>
      </c>
      <c r="E36" s="151"/>
      <c r="F36" s="157">
        <f>F35*27.5%-(C36)</f>
        <v>3919.728686779702</v>
      </c>
    </row>
    <row r="37" spans="1:6" ht="12.75">
      <c r="A37" s="149" t="s">
        <v>93</v>
      </c>
      <c r="B37" s="151"/>
      <c r="C37" s="151"/>
      <c r="D37" s="151"/>
      <c r="E37" s="151"/>
      <c r="F37" s="158">
        <f>SUM(F35-F36)</f>
        <v>12161.393810601032</v>
      </c>
    </row>
    <row r="38" spans="1:6" ht="13.5" thickBot="1">
      <c r="A38" s="149" t="s">
        <v>94</v>
      </c>
      <c r="B38" s="151"/>
      <c r="C38" s="159" t="s">
        <v>95</v>
      </c>
      <c r="D38" s="262">
        <v>0.01157612</v>
      </c>
      <c r="E38" s="151"/>
      <c r="F38" s="222">
        <f>F37/D38</f>
        <v>1050558.7200720995</v>
      </c>
    </row>
    <row r="39" spans="1:6" ht="13.5" thickBot="1">
      <c r="A39" s="160" t="s">
        <v>96</v>
      </c>
      <c r="B39" s="161"/>
      <c r="C39" s="162" t="str">
        <f>C38</f>
        <v>Valor da TR</v>
      </c>
      <c r="D39" s="261">
        <f>D38</f>
        <v>0.01157612</v>
      </c>
      <c r="E39" s="161"/>
      <c r="F39" s="223">
        <f>F36/D39</f>
        <v>338604.7040614387</v>
      </c>
    </row>
    <row r="40" spans="1:6" ht="12.75">
      <c r="A40" s="342" t="s">
        <v>312</v>
      </c>
      <c r="B40" s="343"/>
      <c r="C40" s="343"/>
      <c r="D40" s="343"/>
      <c r="E40" s="343"/>
      <c r="F40" s="344"/>
    </row>
    <row r="41" spans="1:6" ht="12.75">
      <c r="A41" s="338" t="s">
        <v>125</v>
      </c>
      <c r="B41" s="339"/>
      <c r="C41" s="339"/>
      <c r="D41" s="339"/>
      <c r="E41" s="339"/>
      <c r="F41" s="340"/>
    </row>
    <row r="42" spans="1:6" ht="12.75">
      <c r="A42" s="338" t="s">
        <v>121</v>
      </c>
      <c r="B42" s="339"/>
      <c r="C42" s="339"/>
      <c r="D42" s="339"/>
      <c r="E42" s="339"/>
      <c r="F42" s="340"/>
    </row>
    <row r="43" spans="1:6" ht="13.5" thickBot="1">
      <c r="A43" s="311" t="s">
        <v>122</v>
      </c>
      <c r="B43" s="341"/>
      <c r="C43" s="341"/>
      <c r="D43" s="341"/>
      <c r="E43" s="341"/>
      <c r="F43" s="312"/>
    </row>
  </sheetData>
  <mergeCells count="8">
    <mergeCell ref="A41:F41"/>
    <mergeCell ref="A42:F42"/>
    <mergeCell ref="A43:F43"/>
    <mergeCell ref="A40:F40"/>
    <mergeCell ref="A5:F5"/>
    <mergeCell ref="A6:F6"/>
    <mergeCell ref="A7:F7"/>
    <mergeCell ref="A8:F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B1">
      <selection activeCell="A1" sqref="A1:K39"/>
    </sheetView>
  </sheetViews>
  <sheetFormatPr defaultColWidth="9.140625" defaultRowHeight="12.75"/>
  <cols>
    <col min="1" max="1" width="13.140625" style="0" customWidth="1"/>
    <col min="2" max="2" width="14.8515625" style="0" bestFit="1" customWidth="1"/>
    <col min="3" max="3" width="11.28125" style="0" customWidth="1"/>
    <col min="4" max="4" width="13.57421875" style="0" bestFit="1" customWidth="1"/>
    <col min="5" max="5" width="13.7109375" style="0" customWidth="1"/>
    <col min="6" max="6" width="10.7109375" style="0" customWidth="1"/>
    <col min="7" max="7" width="14.57421875" style="0" bestFit="1" customWidth="1"/>
    <col min="8" max="8" width="12.140625" style="0" bestFit="1" customWidth="1"/>
    <col min="9" max="10" width="12.140625" style="0" customWidth="1"/>
    <col min="11" max="11" width="10.57421875" style="0" customWidth="1"/>
  </cols>
  <sheetData>
    <row r="1" spans="1:11" ht="12.75">
      <c r="A1" s="56" t="str">
        <f>Apurações!A1</f>
        <v>PROCESSO:555/97 DA  35a.VT/RJ</v>
      </c>
      <c r="B1" s="57"/>
      <c r="C1" s="57"/>
      <c r="D1" s="57"/>
      <c r="E1" s="57"/>
      <c r="F1" s="57"/>
      <c r="G1" s="57"/>
      <c r="H1" s="229"/>
      <c r="I1" s="229"/>
      <c r="J1" s="229"/>
      <c r="K1" s="230"/>
    </row>
    <row r="2" spans="1:11" ht="12.75">
      <c r="A2" s="58" t="str">
        <f>Apurações!A2</f>
        <v>RTE: JOÃO DA SILVA</v>
      </c>
      <c r="B2" s="59"/>
      <c r="C2" s="59"/>
      <c r="D2" s="59"/>
      <c r="E2" s="59"/>
      <c r="F2" s="59"/>
      <c r="G2" s="59"/>
      <c r="H2" s="104"/>
      <c r="I2" s="104"/>
      <c r="J2" s="104"/>
      <c r="K2" s="231"/>
    </row>
    <row r="3" spans="1:11" ht="13.5" thickBot="1">
      <c r="A3" s="61" t="str">
        <f>Apurações!A3</f>
        <v>RDA: PROQ -PRODUTOS QUIMICOS LTDA.</v>
      </c>
      <c r="B3" s="62"/>
      <c r="C3" s="62"/>
      <c r="D3" s="62"/>
      <c r="E3" s="62"/>
      <c r="F3" s="62"/>
      <c r="G3" s="62"/>
      <c r="H3" s="232"/>
      <c r="I3" s="232"/>
      <c r="J3" s="232"/>
      <c r="K3" s="233"/>
    </row>
    <row r="4" spans="1:11" ht="3.75" customHeight="1" thickBot="1">
      <c r="A4" s="289"/>
      <c r="B4" s="104"/>
      <c r="C4" s="104"/>
      <c r="D4" s="104"/>
      <c r="E4" s="104"/>
      <c r="F4" s="104"/>
      <c r="G4" s="104"/>
      <c r="H4" s="104"/>
      <c r="I4" s="104"/>
      <c r="J4" s="104"/>
      <c r="K4" s="231"/>
    </row>
    <row r="5" spans="1:11" ht="13.5" thickBot="1">
      <c r="A5" s="313" t="s">
        <v>60</v>
      </c>
      <c r="B5" s="314"/>
      <c r="C5" s="314"/>
      <c r="D5" s="314"/>
      <c r="E5" s="314"/>
      <c r="F5" s="314"/>
      <c r="G5" s="314"/>
      <c r="H5" s="314"/>
      <c r="I5" s="314"/>
      <c r="J5" s="314"/>
      <c r="K5" s="315"/>
    </row>
    <row r="6" spans="1:11" ht="3" customHeight="1" thickBot="1">
      <c r="A6" s="290"/>
      <c r="B6" s="104"/>
      <c r="C6" s="104"/>
      <c r="D6" s="104"/>
      <c r="E6" s="104"/>
      <c r="F6" s="104"/>
      <c r="G6" s="104"/>
      <c r="H6" s="104"/>
      <c r="I6" s="104"/>
      <c r="J6" s="104"/>
      <c r="K6" s="231"/>
    </row>
    <row r="7" spans="1:11" ht="13.5" thickBot="1">
      <c r="A7" s="313" t="s">
        <v>318</v>
      </c>
      <c r="B7" s="314"/>
      <c r="C7" s="314"/>
      <c r="D7" s="314"/>
      <c r="E7" s="314"/>
      <c r="F7" s="314"/>
      <c r="G7" s="314"/>
      <c r="H7" s="314"/>
      <c r="I7" s="314"/>
      <c r="J7" s="314"/>
      <c r="K7" s="315"/>
    </row>
    <row r="8" spans="1:11" ht="6" customHeight="1" thickBot="1">
      <c r="A8" s="289"/>
      <c r="B8" s="104"/>
      <c r="C8" s="104"/>
      <c r="D8" s="104"/>
      <c r="E8" s="104"/>
      <c r="F8" s="104"/>
      <c r="G8" s="104"/>
      <c r="H8" s="104"/>
      <c r="I8" s="104"/>
      <c r="J8" s="104"/>
      <c r="K8" s="231"/>
    </row>
    <row r="9" spans="1:11" s="2" customFormat="1" ht="13.5" thickBot="1">
      <c r="A9" s="234" t="s">
        <v>23</v>
      </c>
      <c r="B9" s="236" t="s">
        <v>43</v>
      </c>
      <c r="C9" s="256" t="s">
        <v>296</v>
      </c>
      <c r="D9" s="257" t="s">
        <v>83</v>
      </c>
      <c r="E9" s="236" t="s">
        <v>43</v>
      </c>
      <c r="F9" s="235" t="s">
        <v>44</v>
      </c>
      <c r="G9" s="235" t="s">
        <v>45</v>
      </c>
      <c r="H9" s="282" t="s">
        <v>46</v>
      </c>
      <c r="I9" s="194" t="s">
        <v>24</v>
      </c>
      <c r="J9" s="282" t="s">
        <v>42</v>
      </c>
      <c r="K9" s="237" t="s">
        <v>87</v>
      </c>
    </row>
    <row r="10" spans="1:11" ht="13.5" thickBot="1">
      <c r="A10" s="238" t="s">
        <v>25</v>
      </c>
      <c r="B10" s="238" t="s">
        <v>295</v>
      </c>
      <c r="C10" s="238" t="s">
        <v>17</v>
      </c>
      <c r="D10" s="238" t="s">
        <v>297</v>
      </c>
      <c r="E10" s="238" t="s">
        <v>47</v>
      </c>
      <c r="F10" s="239">
        <v>0.278</v>
      </c>
      <c r="G10" s="238" t="s">
        <v>48</v>
      </c>
      <c r="H10" s="255" t="s">
        <v>49</v>
      </c>
      <c r="I10" s="285" t="s">
        <v>50</v>
      </c>
      <c r="J10" s="285" t="s">
        <v>313</v>
      </c>
      <c r="K10" s="285" t="s">
        <v>314</v>
      </c>
    </row>
    <row r="11" spans="1:11" ht="12.75">
      <c r="A11" s="240">
        <f>Planilha!B7</f>
        <v>35125</v>
      </c>
      <c r="B11" s="241">
        <f>Planilha!O7</f>
        <v>226.31213789531682</v>
      </c>
      <c r="C11" s="281">
        <v>0.08</v>
      </c>
      <c r="D11" s="299">
        <f>B11*C11</f>
        <v>18.104971031625347</v>
      </c>
      <c r="E11" s="241">
        <f>Planilha!O7</f>
        <v>226.31213789531682</v>
      </c>
      <c r="F11" s="295">
        <f aca="true" t="shared" si="0" ref="F11:F30">E11*27.8%</f>
        <v>62.914774334898084</v>
      </c>
      <c r="G11" s="301">
        <f>F11+D11</f>
        <v>81.01974536652344</v>
      </c>
      <c r="H11" s="242" t="str">
        <f>'Atualização s-Incid. IR'!C11</f>
        <v>    1,602398547</v>
      </c>
      <c r="I11" s="286">
        <f>G11*H11</f>
        <v>129.82592225362714</v>
      </c>
      <c r="J11" s="286">
        <f>I11*107.47%</f>
        <v>139.52391864597308</v>
      </c>
      <c r="K11" s="284">
        <f>I11+J11</f>
        <v>269.3498408996002</v>
      </c>
    </row>
    <row r="12" spans="1:11" ht="12.75">
      <c r="A12" s="243">
        <f>Planilha!B8</f>
        <v>35156</v>
      </c>
      <c r="B12" s="244">
        <f>Planilha!O8</f>
        <v>226.31213789531682</v>
      </c>
      <c r="C12" s="245">
        <v>0.08</v>
      </c>
      <c r="D12" s="300">
        <f>B12*C12</f>
        <v>18.104971031625347</v>
      </c>
      <c r="E12" s="244">
        <f>Planilha!O8</f>
        <v>226.31213789531682</v>
      </c>
      <c r="F12" s="296">
        <f t="shared" si="0"/>
        <v>62.914774334898084</v>
      </c>
      <c r="G12" s="302">
        <f aca="true" t="shared" si="1" ref="G12:G30">F12+D12</f>
        <v>81.01974536652344</v>
      </c>
      <c r="H12" s="242" t="str">
        <f>'Atualização s-Incid. IR'!C12</f>
        <v>    1,589461916</v>
      </c>
      <c r="I12" s="286">
        <f>G12*H12</f>
        <v>128.77779970410649</v>
      </c>
      <c r="J12" s="286">
        <f aca="true" t="shared" si="2" ref="J12:J30">I12*107.47%</f>
        <v>138.39750134200324</v>
      </c>
      <c r="K12" s="284">
        <f aca="true" t="shared" si="3" ref="K12:K30">I12+J12</f>
        <v>267.1753010461097</v>
      </c>
    </row>
    <row r="13" spans="1:11" ht="12.75">
      <c r="A13" s="243">
        <f>Planilha!B9</f>
        <v>35186</v>
      </c>
      <c r="B13" s="244">
        <f>Planilha!O9</f>
        <v>253.4695944427548</v>
      </c>
      <c r="C13" s="245">
        <v>0.08</v>
      </c>
      <c r="D13" s="300">
        <f aca="true" t="shared" si="4" ref="D13:D30">B13*C13</f>
        <v>20.277567555420386</v>
      </c>
      <c r="E13" s="244">
        <f>Planilha!O9</f>
        <v>253.4695944427548</v>
      </c>
      <c r="F13" s="296">
        <f t="shared" si="0"/>
        <v>70.46454725508585</v>
      </c>
      <c r="G13" s="302">
        <f t="shared" si="1"/>
        <v>90.74211481050624</v>
      </c>
      <c r="H13" s="242" t="str">
        <f>'Atualização s-Incid. IR'!C13</f>
        <v>    1,579044957</v>
      </c>
      <c r="I13" s="286">
        <f aca="true" t="shared" si="5" ref="I13:I30">G13*H13</f>
        <v>143.28587877904488</v>
      </c>
      <c r="J13" s="286">
        <f t="shared" si="2"/>
        <v>153.98933392383952</v>
      </c>
      <c r="K13" s="284">
        <f t="shared" si="3"/>
        <v>297.2752127028844</v>
      </c>
    </row>
    <row r="14" spans="1:11" ht="12.75">
      <c r="A14" s="243">
        <f>Planilha!B10</f>
        <v>35217</v>
      </c>
      <c r="B14" s="244">
        <f>Planilha!O10</f>
        <v>253.4695944427548</v>
      </c>
      <c r="C14" s="245">
        <v>0.08</v>
      </c>
      <c r="D14" s="300">
        <f t="shared" si="4"/>
        <v>20.277567555420386</v>
      </c>
      <c r="E14" s="244">
        <f>Planilha!O10</f>
        <v>253.4695944427548</v>
      </c>
      <c r="F14" s="296">
        <f t="shared" si="0"/>
        <v>70.46454725508585</v>
      </c>
      <c r="G14" s="302">
        <f t="shared" si="1"/>
        <v>90.74211481050624</v>
      </c>
      <c r="H14" s="242" t="str">
        <f>'Atualização s-Incid. IR'!C14</f>
        <v>    1,569801963</v>
      </c>
      <c r="I14" s="286">
        <f t="shared" si="5"/>
        <v>142.44714995630406</v>
      </c>
      <c r="J14" s="286">
        <f t="shared" si="2"/>
        <v>153.08795205803997</v>
      </c>
      <c r="K14" s="284">
        <f t="shared" si="3"/>
        <v>295.53510201434403</v>
      </c>
    </row>
    <row r="15" spans="1:11" ht="12.75">
      <c r="A15" s="243">
        <f>Planilha!B11</f>
        <v>35247</v>
      </c>
      <c r="B15" s="244">
        <f>Planilha!O11</f>
        <v>253.4695944427548</v>
      </c>
      <c r="C15" s="245">
        <v>0.08</v>
      </c>
      <c r="D15" s="300">
        <f t="shared" si="4"/>
        <v>20.277567555420386</v>
      </c>
      <c r="E15" s="244">
        <f>Planilha!O11</f>
        <v>253.4695944427548</v>
      </c>
      <c r="F15" s="296">
        <f t="shared" si="0"/>
        <v>70.46454725508585</v>
      </c>
      <c r="G15" s="302">
        <f t="shared" si="1"/>
        <v>90.74211481050624</v>
      </c>
      <c r="H15" s="242" t="str">
        <f>'Atualização s-Incid. IR'!C15</f>
        <v>    1,560285780</v>
      </c>
      <c r="I15" s="286">
        <f t="shared" si="5"/>
        <v>141.58363138596027</v>
      </c>
      <c r="J15" s="286">
        <f t="shared" si="2"/>
        <v>152.1599286504915</v>
      </c>
      <c r="K15" s="284">
        <f t="shared" si="3"/>
        <v>293.74356003645175</v>
      </c>
    </row>
    <row r="16" spans="1:11" ht="12.75">
      <c r="A16" s="243">
        <f>Planilha!B12</f>
        <v>35278</v>
      </c>
      <c r="B16" s="244">
        <f>Planilha!O12</f>
        <v>253.4695944427548</v>
      </c>
      <c r="C16" s="245">
        <v>0.08</v>
      </c>
      <c r="D16" s="300">
        <f t="shared" si="4"/>
        <v>20.277567555420386</v>
      </c>
      <c r="E16" s="244">
        <f>Planilha!O12</f>
        <v>253.4695944427548</v>
      </c>
      <c r="F16" s="296">
        <f t="shared" si="0"/>
        <v>70.46454725508585</v>
      </c>
      <c r="G16" s="303">
        <f t="shared" si="1"/>
        <v>90.74211481050624</v>
      </c>
      <c r="H16" s="242" t="str">
        <f>'Atualização s-Incid. IR'!C16</f>
        <v>    1,551209652</v>
      </c>
      <c r="I16" s="286">
        <f t="shared" si="5"/>
        <v>140.76004433694942</v>
      </c>
      <c r="J16" s="286">
        <f t="shared" si="2"/>
        <v>151.27481964891953</v>
      </c>
      <c r="K16" s="284">
        <f t="shared" si="3"/>
        <v>292.0348639858689</v>
      </c>
    </row>
    <row r="17" spans="1:11" ht="12.75">
      <c r="A17" s="243">
        <f>Planilha!B13</f>
        <v>35309</v>
      </c>
      <c r="B17" s="244">
        <f>Planilha!O13</f>
        <v>253.4695944427548</v>
      </c>
      <c r="C17" s="245">
        <v>0.08</v>
      </c>
      <c r="D17" s="300">
        <f t="shared" si="4"/>
        <v>20.277567555420386</v>
      </c>
      <c r="E17" s="244">
        <f>Planilha!O13</f>
        <v>253.4695944427548</v>
      </c>
      <c r="F17" s="296">
        <f t="shared" si="0"/>
        <v>70.46454725508585</v>
      </c>
      <c r="G17" s="302">
        <f t="shared" si="1"/>
        <v>90.74211481050624</v>
      </c>
      <c r="H17" s="242" t="str">
        <f>'Atualização s-Incid. IR'!C17</f>
        <v>    1,541536511</v>
      </c>
      <c r="I17" s="286">
        <f t="shared" si="5"/>
        <v>139.88228306574922</v>
      </c>
      <c r="J17" s="286">
        <f t="shared" si="2"/>
        <v>150.33148961076068</v>
      </c>
      <c r="K17" s="284">
        <f t="shared" si="3"/>
        <v>290.2137726765099</v>
      </c>
    </row>
    <row r="18" spans="1:11" ht="12.75">
      <c r="A18" s="243">
        <f>Planilha!B14</f>
        <v>35339</v>
      </c>
      <c r="B18" s="244">
        <f>Planilha!O14</f>
        <v>253.4695944427548</v>
      </c>
      <c r="C18" s="245">
        <v>0.08</v>
      </c>
      <c r="D18" s="300">
        <f t="shared" si="4"/>
        <v>20.277567555420386</v>
      </c>
      <c r="E18" s="244">
        <f>Planilha!O14</f>
        <v>253.4695944427548</v>
      </c>
      <c r="F18" s="296">
        <f t="shared" si="0"/>
        <v>70.46454725508585</v>
      </c>
      <c r="G18" s="302">
        <f t="shared" si="1"/>
        <v>90.74211481050624</v>
      </c>
      <c r="H18" s="242" t="str">
        <f>'Atualização s-Incid. IR'!C18</f>
        <v>    1,531398651</v>
      </c>
      <c r="I18" s="286">
        <f t="shared" si="5"/>
        <v>138.96235220969638</v>
      </c>
      <c r="J18" s="286">
        <f t="shared" si="2"/>
        <v>149.3428399197607</v>
      </c>
      <c r="K18" s="284">
        <f t="shared" si="3"/>
        <v>288.30519212945705</v>
      </c>
    </row>
    <row r="19" spans="1:11" ht="12.75">
      <c r="A19" s="47">
        <f>Planilha!B15</f>
        <v>35370</v>
      </c>
      <c r="B19" s="244">
        <f>Planilha!O15</f>
        <v>253.4695944427548</v>
      </c>
      <c r="C19" s="245">
        <v>0.08</v>
      </c>
      <c r="D19" s="300">
        <f t="shared" si="4"/>
        <v>20.277567555420386</v>
      </c>
      <c r="E19" s="45">
        <f>Planilha!O15</f>
        <v>253.4695944427548</v>
      </c>
      <c r="F19" s="297">
        <f t="shared" si="0"/>
        <v>70.46454725508585</v>
      </c>
      <c r="G19" s="304">
        <f t="shared" si="1"/>
        <v>90.74211481050624</v>
      </c>
      <c r="H19" s="242" t="str">
        <f>'Atualização s-Incid. IR'!C19</f>
        <v>    1,520120875</v>
      </c>
      <c r="I19" s="286">
        <f t="shared" si="5"/>
        <v>137.93898296509718</v>
      </c>
      <c r="J19" s="286">
        <f t="shared" si="2"/>
        <v>148.24302499258994</v>
      </c>
      <c r="K19" s="284">
        <f t="shared" si="3"/>
        <v>286.1820079576871</v>
      </c>
    </row>
    <row r="20" spans="1:11" ht="12.75">
      <c r="A20" s="47">
        <f>Planilha!B16</f>
        <v>35400</v>
      </c>
      <c r="B20" s="244">
        <f>Planilha!O16</f>
        <v>253.4695944427548</v>
      </c>
      <c r="C20" s="245">
        <v>0.08</v>
      </c>
      <c r="D20" s="300">
        <f t="shared" si="4"/>
        <v>20.277567555420386</v>
      </c>
      <c r="E20" s="45">
        <f>Planilha!O16</f>
        <v>253.4695944427548</v>
      </c>
      <c r="F20" s="297">
        <f t="shared" si="0"/>
        <v>70.46454725508585</v>
      </c>
      <c r="G20" s="304">
        <f t="shared" si="1"/>
        <v>90.74211481050624</v>
      </c>
      <c r="H20" s="242" t="str">
        <f>'Atualização s-Incid. IR'!C20</f>
        <v>    1,507838026</v>
      </c>
      <c r="I20" s="286">
        <f t="shared" si="5"/>
        <v>136.8244112709391</v>
      </c>
      <c r="J20" s="286">
        <f t="shared" si="2"/>
        <v>147.04519479287825</v>
      </c>
      <c r="K20" s="284">
        <f t="shared" si="3"/>
        <v>283.86960606381734</v>
      </c>
    </row>
    <row r="21" spans="1:11" ht="12.75">
      <c r="A21" s="47" t="str">
        <f>Planilha!B17</f>
        <v>13º/96</v>
      </c>
      <c r="B21" s="244">
        <f>Planilha!O17</f>
        <v>207.96085136478422</v>
      </c>
      <c r="C21" s="245">
        <v>0.08</v>
      </c>
      <c r="D21" s="300">
        <f t="shared" si="4"/>
        <v>16.63686810918274</v>
      </c>
      <c r="E21" s="45">
        <f>Planilha!O17</f>
        <v>207.96085136478422</v>
      </c>
      <c r="F21" s="297">
        <f t="shared" si="0"/>
        <v>57.813116679410015</v>
      </c>
      <c r="G21" s="304">
        <f t="shared" si="1"/>
        <v>74.44998478859276</v>
      </c>
      <c r="H21" s="242" t="str">
        <f>'Atualização s-Incid. IR'!C21</f>
        <v>    1,507838026</v>
      </c>
      <c r="I21" s="286">
        <f t="shared" si="5"/>
        <v>112.25851809936172</v>
      </c>
      <c r="J21" s="286">
        <f t="shared" si="2"/>
        <v>120.64422940138404</v>
      </c>
      <c r="K21" s="284">
        <f t="shared" si="3"/>
        <v>232.90274750074576</v>
      </c>
    </row>
    <row r="22" spans="1:11" ht="12.75">
      <c r="A22" s="47">
        <f>Planilha!B18</f>
        <v>35431</v>
      </c>
      <c r="B22" s="244">
        <f>Planilha!O18</f>
        <v>253.4695944427548</v>
      </c>
      <c r="C22" s="48">
        <v>0.0782</v>
      </c>
      <c r="D22" s="300">
        <f t="shared" si="4"/>
        <v>19.821322285423427</v>
      </c>
      <c r="E22" s="45">
        <f>Planilha!O18</f>
        <v>253.4695944427548</v>
      </c>
      <c r="F22" s="297">
        <f t="shared" si="0"/>
        <v>70.46454725508585</v>
      </c>
      <c r="G22" s="304">
        <f t="shared" si="1"/>
        <v>90.28586954050928</v>
      </c>
      <c r="H22" s="242" t="str">
        <f>'Atualização s-Incid. IR'!C22</f>
        <v>    1,494807787</v>
      </c>
      <c r="I22" s="286">
        <f t="shared" si="5"/>
        <v>134.9600208452194</v>
      </c>
      <c r="J22" s="286">
        <f t="shared" si="2"/>
        <v>145.04153440235729</v>
      </c>
      <c r="K22" s="284">
        <f t="shared" si="3"/>
        <v>280.0015552475767</v>
      </c>
    </row>
    <row r="23" spans="1:11" ht="12.75">
      <c r="A23" s="47">
        <f>Planilha!B19</f>
        <v>35462</v>
      </c>
      <c r="B23" s="244">
        <f>Planilha!O19</f>
        <v>253.4695944427548</v>
      </c>
      <c r="C23" s="48">
        <v>0.0782</v>
      </c>
      <c r="D23" s="300">
        <f t="shared" si="4"/>
        <v>19.821322285423427</v>
      </c>
      <c r="E23" s="45">
        <f>Planilha!O19</f>
        <v>253.4695944427548</v>
      </c>
      <c r="F23" s="297">
        <f t="shared" si="0"/>
        <v>70.46454725508585</v>
      </c>
      <c r="G23" s="304">
        <f t="shared" si="1"/>
        <v>90.28586954050928</v>
      </c>
      <c r="H23" s="242" t="str">
        <f>'Atualização s-Incid. IR'!C23</f>
        <v>    1,483768549</v>
      </c>
      <c r="I23" s="286">
        <f t="shared" si="5"/>
        <v>133.96333364332477</v>
      </c>
      <c r="J23" s="286">
        <f t="shared" si="2"/>
        <v>143.97039466648113</v>
      </c>
      <c r="K23" s="284">
        <f t="shared" si="3"/>
        <v>277.93372830980593</v>
      </c>
    </row>
    <row r="24" spans="1:11" ht="12.75">
      <c r="A24" s="47">
        <f>Planilha!B20</f>
        <v>35490</v>
      </c>
      <c r="B24" s="244">
        <f>Planilha!O20</f>
        <v>253.4695944427548</v>
      </c>
      <c r="C24" s="48">
        <v>0.0782</v>
      </c>
      <c r="D24" s="300">
        <f t="shared" si="4"/>
        <v>19.821322285423427</v>
      </c>
      <c r="E24" s="45">
        <f>Planilha!O20</f>
        <v>253.4695944427548</v>
      </c>
      <c r="F24" s="297">
        <f t="shared" si="0"/>
        <v>70.46454725508585</v>
      </c>
      <c r="G24" s="304">
        <f t="shared" si="1"/>
        <v>90.28586954050928</v>
      </c>
      <c r="H24" s="242" t="str">
        <f>'Atualização s-Incid. IR'!C24</f>
        <v>    1,474016456</v>
      </c>
      <c r="I24" s="286">
        <f t="shared" si="5"/>
        <v>133.08285744697983</v>
      </c>
      <c r="J24" s="286">
        <f t="shared" si="2"/>
        <v>143.0241468982692</v>
      </c>
      <c r="K24" s="284">
        <f t="shared" si="3"/>
        <v>276.10700434524904</v>
      </c>
    </row>
    <row r="25" spans="1:11" ht="12.75">
      <c r="A25" s="47">
        <f>Planilha!B21</f>
        <v>35521</v>
      </c>
      <c r="B25" s="244">
        <f>Planilha!O21</f>
        <v>253.4695944427548</v>
      </c>
      <c r="C25" s="48">
        <v>0.0782</v>
      </c>
      <c r="D25" s="300">
        <f t="shared" si="4"/>
        <v>19.821322285423427</v>
      </c>
      <c r="E25" s="45">
        <f>Planilha!O21</f>
        <v>253.4695944427548</v>
      </c>
      <c r="F25" s="297">
        <f t="shared" si="0"/>
        <v>70.46454725508585</v>
      </c>
      <c r="G25" s="304">
        <f t="shared" si="1"/>
        <v>90.28586954050928</v>
      </c>
      <c r="H25" s="242" t="str">
        <f>'Atualização s-Incid. IR'!C25</f>
        <v>    1,464765000</v>
      </c>
      <c r="I25" s="286">
        <f t="shared" si="5"/>
        <v>132.24758169750407</v>
      </c>
      <c r="J25" s="286">
        <f t="shared" si="2"/>
        <v>142.12647605030762</v>
      </c>
      <c r="K25" s="284">
        <f t="shared" si="3"/>
        <v>274.37405774781166</v>
      </c>
    </row>
    <row r="26" spans="1:11" ht="12.75">
      <c r="A26" s="47">
        <f>Planilha!B22</f>
        <v>35551</v>
      </c>
      <c r="B26" s="244">
        <f>Planilha!O22</f>
        <v>271.5745654743802</v>
      </c>
      <c r="C26" s="48">
        <v>0.0782</v>
      </c>
      <c r="D26" s="300">
        <f t="shared" si="4"/>
        <v>21.237131020096534</v>
      </c>
      <c r="E26" s="45">
        <f>Planilha!O22</f>
        <v>271.5745654743802</v>
      </c>
      <c r="F26" s="297">
        <f t="shared" si="0"/>
        <v>75.4977292018777</v>
      </c>
      <c r="G26" s="304">
        <f t="shared" si="1"/>
        <v>96.73486022197423</v>
      </c>
      <c r="H26" s="242" t="str">
        <f>'Atualização s-Incid. IR'!C26</f>
        <v>    1,455723501</v>
      </c>
      <c r="I26" s="286">
        <f t="shared" si="5"/>
        <v>140.81920939107798</v>
      </c>
      <c r="J26" s="286">
        <f t="shared" si="2"/>
        <v>151.3384043325915</v>
      </c>
      <c r="K26" s="284">
        <f t="shared" si="3"/>
        <v>292.15761372366944</v>
      </c>
    </row>
    <row r="27" spans="1:11" ht="12.75">
      <c r="A27" s="47">
        <f>Planilha!B23</f>
        <v>35582</v>
      </c>
      <c r="B27" s="244">
        <f>Planilha!O23</f>
        <v>271.5745654743802</v>
      </c>
      <c r="C27" s="48">
        <v>0.0782</v>
      </c>
      <c r="D27" s="300">
        <f t="shared" si="4"/>
        <v>21.237131020096534</v>
      </c>
      <c r="E27" s="45">
        <f>Planilha!O23</f>
        <v>271.5745654743802</v>
      </c>
      <c r="F27" s="297">
        <f t="shared" si="0"/>
        <v>75.4977292018777</v>
      </c>
      <c r="G27" s="304">
        <f t="shared" si="1"/>
        <v>96.73486022197423</v>
      </c>
      <c r="H27" s="242" t="str">
        <f>'Atualização s-Incid. IR'!C27</f>
        <v>    1,446532236</v>
      </c>
      <c r="I27" s="286">
        <f t="shared" si="5"/>
        <v>139.93009365603984</v>
      </c>
      <c r="J27" s="286">
        <f t="shared" si="2"/>
        <v>150.382871652146</v>
      </c>
      <c r="K27" s="284">
        <f t="shared" si="3"/>
        <v>290.3129653081859</v>
      </c>
    </row>
    <row r="28" spans="1:11" ht="12.75">
      <c r="A28" s="47">
        <f>Planilha!B24</f>
        <v>35612</v>
      </c>
      <c r="B28" s="244">
        <f>Planilha!O24</f>
        <v>271.5745654743802</v>
      </c>
      <c r="C28" s="48">
        <v>0.0782</v>
      </c>
      <c r="D28" s="300">
        <f t="shared" si="4"/>
        <v>21.237131020096534</v>
      </c>
      <c r="E28" s="45">
        <f>Planilha!O24</f>
        <v>271.5745654743802</v>
      </c>
      <c r="F28" s="297">
        <f t="shared" si="0"/>
        <v>75.4977292018777</v>
      </c>
      <c r="G28" s="304">
        <f t="shared" si="1"/>
        <v>96.73486022197423</v>
      </c>
      <c r="H28" s="242" t="str">
        <f>'Atualização s-Incid. IR'!C28</f>
        <v>    1,437140522</v>
      </c>
      <c r="I28" s="286">
        <f t="shared" si="5"/>
        <v>139.02158751500508</v>
      </c>
      <c r="J28" s="286">
        <f t="shared" si="2"/>
        <v>149.40650010237596</v>
      </c>
      <c r="K28" s="284">
        <f t="shared" si="3"/>
        <v>288.42808761738104</v>
      </c>
    </row>
    <row r="29" spans="1:11" ht="12.75">
      <c r="A29" s="47">
        <f>Planilha!B25</f>
        <v>35643</v>
      </c>
      <c r="B29" s="244">
        <f>Planilha!O25</f>
        <v>271.5745654743802</v>
      </c>
      <c r="C29" s="48">
        <v>0.0782</v>
      </c>
      <c r="D29" s="300">
        <f t="shared" si="4"/>
        <v>21.237131020096534</v>
      </c>
      <c r="E29" s="45">
        <f>Planilha!O25</f>
        <v>271.5745654743802</v>
      </c>
      <c r="F29" s="297">
        <f>E29*27.8%</f>
        <v>75.4977292018777</v>
      </c>
      <c r="G29" s="304">
        <f t="shared" si="1"/>
        <v>96.73486022197423</v>
      </c>
      <c r="H29" s="242" t="str">
        <f>'Atualização s-Incid. IR'!C29</f>
        <v>    1,427745954</v>
      </c>
      <c r="I29" s="286">
        <f t="shared" si="5"/>
        <v>138.11280529267924</v>
      </c>
      <c r="J29" s="286">
        <f t="shared" si="2"/>
        <v>148.42983184804237</v>
      </c>
      <c r="K29" s="284">
        <f t="shared" si="3"/>
        <v>286.5426371407216</v>
      </c>
    </row>
    <row r="30" spans="1:11" ht="13.5" thickBot="1">
      <c r="A30" s="50" t="s">
        <v>26</v>
      </c>
      <c r="B30" s="244">
        <f>Apurações!F20</f>
        <v>181.04971031625354</v>
      </c>
      <c r="C30" s="48">
        <v>0.0782</v>
      </c>
      <c r="D30" s="300">
        <f t="shared" si="4"/>
        <v>14.158087346731028</v>
      </c>
      <c r="E30" s="45">
        <f>B30-129.58</f>
        <v>51.469710316253526</v>
      </c>
      <c r="F30" s="298">
        <f t="shared" si="0"/>
        <v>14.30857946791848</v>
      </c>
      <c r="G30" s="305">
        <f t="shared" si="1"/>
        <v>28.466666814649507</v>
      </c>
      <c r="H30" s="242" t="str">
        <f>'Atualização s-Incid. IR'!C30</f>
        <v>    1,427745954</v>
      </c>
      <c r="I30" s="286">
        <f t="shared" si="5"/>
        <v>40.6431683684819</v>
      </c>
      <c r="J30" s="286">
        <f t="shared" si="2"/>
        <v>43.6792130456075</v>
      </c>
      <c r="K30" s="284">
        <f t="shared" si="3"/>
        <v>84.32238141408939</v>
      </c>
    </row>
    <row r="31" spans="1:11" ht="13.5" thickBot="1">
      <c r="A31" s="316" t="s">
        <v>51</v>
      </c>
      <c r="B31" s="317"/>
      <c r="C31" s="258"/>
      <c r="D31" s="51"/>
      <c r="E31" s="51"/>
      <c r="F31" s="55"/>
      <c r="G31" s="55">
        <f>SUM(G11:G30)</f>
        <v>1738.9759798702732</v>
      </c>
      <c r="H31" s="52"/>
      <c r="I31" s="44">
        <f>SUM(I11:I30)</f>
        <v>2625.3276318831486</v>
      </c>
      <c r="J31" s="44">
        <f>SUM(J11:J30)</f>
        <v>2821.439605984819</v>
      </c>
      <c r="K31" s="44">
        <f>SUM(K11:K30)</f>
        <v>5446.767237867967</v>
      </c>
    </row>
    <row r="32" spans="1:11" ht="4.5" customHeight="1" thickBot="1">
      <c r="A32" s="91"/>
      <c r="B32" s="2"/>
      <c r="C32" s="2"/>
      <c r="D32" s="2"/>
      <c r="E32" s="2"/>
      <c r="F32" s="2"/>
      <c r="G32" s="2"/>
      <c r="H32" s="2"/>
      <c r="I32" s="2"/>
      <c r="J32" s="2"/>
      <c r="K32" s="291"/>
    </row>
    <row r="33" spans="1:11" s="1" customFormat="1" ht="12.75" thickBot="1">
      <c r="A33" s="318" t="s">
        <v>52</v>
      </c>
      <c r="B33" s="319"/>
      <c r="C33" s="259"/>
      <c r="D33" s="287"/>
      <c r="E33" s="226" t="s">
        <v>124</v>
      </c>
      <c r="F33" s="227"/>
      <c r="G33" s="228">
        <f>'Atualização c-Incid. IR'!D38</f>
        <v>0.01157612</v>
      </c>
      <c r="H33" s="320">
        <f>K31/G33</f>
        <v>470517.51691136294</v>
      </c>
      <c r="I33" s="321"/>
      <c r="J33" s="321"/>
      <c r="K33" s="322"/>
    </row>
    <row r="34" spans="1:11" ht="12.75">
      <c r="A34" s="323" t="s">
        <v>17</v>
      </c>
      <c r="B34" s="324"/>
      <c r="C34" s="5"/>
      <c r="D34" s="2"/>
      <c r="E34" s="49"/>
      <c r="F34" s="49"/>
      <c r="G34" s="49"/>
      <c r="H34" s="49"/>
      <c r="I34" s="49"/>
      <c r="J34" s="49"/>
      <c r="K34" s="292"/>
    </row>
    <row r="35" spans="1:11" ht="12.75">
      <c r="A35" s="325" t="s">
        <v>53</v>
      </c>
      <c r="B35" s="326"/>
      <c r="C35" s="5"/>
      <c r="D35" s="2"/>
      <c r="E35" s="49"/>
      <c r="F35" s="49"/>
      <c r="G35" s="49"/>
      <c r="H35" s="49"/>
      <c r="I35" s="49"/>
      <c r="J35" s="49"/>
      <c r="K35" s="292"/>
    </row>
    <row r="36" spans="1:11" ht="13.5" thickBot="1">
      <c r="A36" s="327" t="s">
        <v>54</v>
      </c>
      <c r="B36" s="328"/>
      <c r="C36" s="5"/>
      <c r="D36" s="2"/>
      <c r="E36" s="49"/>
      <c r="F36" s="49"/>
      <c r="G36" s="49"/>
      <c r="H36" s="49"/>
      <c r="I36" s="49"/>
      <c r="J36" s="49"/>
      <c r="K36" s="292"/>
    </row>
    <row r="37" spans="1:11" ht="13.5" thickBot="1">
      <c r="A37" s="311" t="s">
        <v>55</v>
      </c>
      <c r="B37" s="312"/>
      <c r="C37" s="260"/>
      <c r="D37" s="2"/>
      <c r="E37" s="49"/>
      <c r="F37" s="49"/>
      <c r="G37" s="49"/>
      <c r="H37" s="49"/>
      <c r="I37" s="49"/>
      <c r="J37" s="49"/>
      <c r="K37" s="292"/>
    </row>
    <row r="38" spans="1:11" ht="12.75">
      <c r="A38" s="91"/>
      <c r="B38" s="2"/>
      <c r="C38" s="2"/>
      <c r="D38" s="2"/>
      <c r="E38" s="2"/>
      <c r="F38" s="2"/>
      <c r="G38" s="2"/>
      <c r="H38" s="2"/>
      <c r="I38" s="2"/>
      <c r="J38" s="2"/>
      <c r="K38" s="291"/>
    </row>
    <row r="39" spans="1:11" ht="13.5" thickBot="1">
      <c r="A39" s="293"/>
      <c r="B39" s="3"/>
      <c r="C39" s="3"/>
      <c r="D39" s="3"/>
      <c r="E39" s="3"/>
      <c r="F39" s="3"/>
      <c r="G39" s="3"/>
      <c r="H39" s="3"/>
      <c r="I39" s="3"/>
      <c r="J39" s="3"/>
      <c r="K39" s="294"/>
    </row>
  </sheetData>
  <mergeCells count="9">
    <mergeCell ref="A37:B37"/>
    <mergeCell ref="A5:K5"/>
    <mergeCell ref="A7:K7"/>
    <mergeCell ref="A31:B31"/>
    <mergeCell ref="A33:B33"/>
    <mergeCell ref="H33:K33"/>
    <mergeCell ref="A34:B34"/>
    <mergeCell ref="A35:B35"/>
    <mergeCell ref="A36:B3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G37"/>
    </sheetView>
  </sheetViews>
  <sheetFormatPr defaultColWidth="9.140625" defaultRowHeight="12.75"/>
  <cols>
    <col min="3" max="3" width="22.28125" style="0" customWidth="1"/>
    <col min="4" max="4" width="10.28125" style="0" customWidth="1"/>
    <col min="5" max="5" width="9.28125" style="0" customWidth="1"/>
    <col min="6" max="6" width="14.57421875" style="0" customWidth="1"/>
    <col min="7" max="7" width="9.8515625" style="0" customWidth="1"/>
    <col min="9" max="9" width="9.28125" style="0" customWidth="1"/>
  </cols>
  <sheetData>
    <row r="1" spans="1:7" ht="18">
      <c r="A1" s="67" t="str">
        <f>Planilha!B1</f>
        <v>PROCESSO:555/97 DA  35a.VT/RJ</v>
      </c>
      <c r="B1" s="68"/>
      <c r="C1" s="68"/>
      <c r="D1" s="68"/>
      <c r="E1" s="68"/>
      <c r="F1" s="69"/>
      <c r="G1" s="59"/>
    </row>
    <row r="2" spans="1:7" ht="18">
      <c r="A2" s="70" t="str">
        <f>Planilha!B2</f>
        <v>RTE: JOÃO DA SILVA</v>
      </c>
      <c r="B2" s="71"/>
      <c r="C2" s="71"/>
      <c r="D2" s="71"/>
      <c r="E2" s="71"/>
      <c r="F2" s="72"/>
      <c r="G2" s="59"/>
    </row>
    <row r="3" spans="1:7" ht="18.75" thickBot="1">
      <c r="A3" s="73" t="str">
        <f>Planilha!B3</f>
        <v>RDA: PROQ -PRODUTOS QUIMICOS LTDA.</v>
      </c>
      <c r="B3" s="74"/>
      <c r="C3" s="74"/>
      <c r="D3" s="74"/>
      <c r="E3" s="74"/>
      <c r="F3" s="75"/>
      <c r="G3" s="59"/>
    </row>
    <row r="4" spans="1:7" ht="6" customHeight="1" thickBot="1">
      <c r="A4" s="76" t="s">
        <v>12</v>
      </c>
      <c r="B4" s="77"/>
      <c r="C4" s="77"/>
      <c r="D4" s="77"/>
      <c r="E4" s="77"/>
      <c r="F4" s="78"/>
      <c r="G4" s="2"/>
    </row>
    <row r="5" spans="1:7" ht="13.5" thickBot="1">
      <c r="A5" s="348" t="s">
        <v>61</v>
      </c>
      <c r="B5" s="349"/>
      <c r="C5" s="349"/>
      <c r="D5" s="349"/>
      <c r="E5" s="349"/>
      <c r="F5" s="350"/>
      <c r="G5" s="2"/>
    </row>
    <row r="6" spans="1:7" ht="6" customHeight="1" thickBot="1">
      <c r="A6" s="79"/>
      <c r="B6" s="80"/>
      <c r="C6" s="80"/>
      <c r="D6" s="80"/>
      <c r="E6" s="80"/>
      <c r="F6" s="81"/>
      <c r="G6" s="2"/>
    </row>
    <row r="7" spans="1:7" ht="13.5" thickBot="1">
      <c r="A7" s="82" t="s">
        <v>62</v>
      </c>
      <c r="B7" s="2"/>
      <c r="C7" s="2"/>
      <c r="D7" s="2"/>
      <c r="E7" s="2"/>
      <c r="F7" s="83"/>
      <c r="G7" s="2"/>
    </row>
    <row r="8" spans="1:7" ht="15.75" thickBot="1">
      <c r="A8" s="84" t="s">
        <v>12</v>
      </c>
      <c r="B8" s="85"/>
      <c r="C8" s="85"/>
      <c r="D8" s="85"/>
      <c r="E8" s="86" t="s">
        <v>28</v>
      </c>
      <c r="F8" s="87"/>
      <c r="G8" s="2"/>
    </row>
    <row r="9" spans="1:9" ht="12.75">
      <c r="A9" s="351" t="s">
        <v>305</v>
      </c>
      <c r="B9" s="352"/>
      <c r="C9" s="352"/>
      <c r="D9" s="88" t="s">
        <v>12</v>
      </c>
      <c r="E9" s="251">
        <f>Planilha!D25</f>
        <v>360</v>
      </c>
      <c r="F9" s="87"/>
      <c r="G9" s="2"/>
      <c r="I9" s="42">
        <f>(E9+E10)/220*0.2*49.58</f>
        <v>17.307927272727273</v>
      </c>
    </row>
    <row r="10" spans="1:9" ht="12.75">
      <c r="A10" s="90" t="s">
        <v>304</v>
      </c>
      <c r="B10" s="5"/>
      <c r="C10" s="5"/>
      <c r="D10" s="88"/>
      <c r="E10" s="89">
        <f>Planilha!E25</f>
        <v>24</v>
      </c>
      <c r="F10" s="87"/>
      <c r="G10" s="2"/>
      <c r="I10">
        <f>1.824*1.5*71.23</f>
        <v>194.88528000000002</v>
      </c>
    </row>
    <row r="11" spans="1:7" ht="12.75">
      <c r="A11" s="90" t="s">
        <v>316</v>
      </c>
      <c r="B11" s="5"/>
      <c r="C11" s="5"/>
      <c r="D11" s="88"/>
      <c r="E11" s="89">
        <f>(E9+E10)/220*49.58*20%</f>
        <v>17.307927272727273</v>
      </c>
      <c r="F11" s="87"/>
      <c r="G11" s="2"/>
    </row>
    <row r="12" spans="1:7" ht="12.75">
      <c r="A12" s="103" t="s">
        <v>317</v>
      </c>
      <c r="B12" s="2"/>
      <c r="C12" s="2"/>
      <c r="D12" s="2"/>
      <c r="E12" s="89">
        <f>(E9+E10+E11)/220*1.5*71.23</f>
        <v>194.89884313388433</v>
      </c>
      <c r="F12" s="87"/>
      <c r="G12" s="2"/>
    </row>
    <row r="13" spans="1:7" ht="13.5" thickBot="1">
      <c r="A13" s="91" t="s">
        <v>306</v>
      </c>
      <c r="B13" s="2"/>
      <c r="C13" s="2"/>
      <c r="D13" s="2"/>
      <c r="E13" s="89">
        <f>(E11+E12)/6</f>
        <v>35.367795067768604</v>
      </c>
      <c r="F13" s="87"/>
      <c r="G13" s="2"/>
    </row>
    <row r="14" spans="1:7" ht="18.75" customHeight="1" thickBot="1">
      <c r="A14" s="92" t="s">
        <v>63</v>
      </c>
      <c r="B14" s="93"/>
      <c r="C14" s="93"/>
      <c r="D14" s="93"/>
      <c r="E14" s="4">
        <f>SUM(E9:E13)</f>
        <v>631.5745654743803</v>
      </c>
      <c r="F14" s="87"/>
      <c r="G14" s="2"/>
    </row>
    <row r="15" spans="1:7" ht="6" customHeight="1" thickBot="1">
      <c r="A15" s="76"/>
      <c r="B15" s="77"/>
      <c r="C15" s="77"/>
      <c r="D15" s="77"/>
      <c r="E15" s="77"/>
      <c r="F15" s="94"/>
      <c r="G15" s="2"/>
    </row>
    <row r="16" spans="1:7" ht="6" customHeight="1" thickBot="1">
      <c r="A16" s="95"/>
      <c r="B16" s="80"/>
      <c r="C16" s="80"/>
      <c r="D16" s="80"/>
      <c r="E16" s="80"/>
      <c r="F16" s="96"/>
      <c r="G16" s="2"/>
    </row>
    <row r="17" spans="1:7" ht="13.5" thickBot="1">
      <c r="A17" s="348" t="s">
        <v>107</v>
      </c>
      <c r="B17" s="349"/>
      <c r="C17" s="350"/>
      <c r="D17" s="64" t="s">
        <v>64</v>
      </c>
      <c r="E17" s="65" t="s">
        <v>64</v>
      </c>
      <c r="F17" s="66" t="s">
        <v>64</v>
      </c>
      <c r="G17" s="97"/>
    </row>
    <row r="18" spans="1:7" ht="13.5" thickBot="1">
      <c r="A18" s="355"/>
      <c r="B18" s="356"/>
      <c r="C18" s="357"/>
      <c r="D18" s="98" t="s">
        <v>65</v>
      </c>
      <c r="E18" s="99" t="s">
        <v>66</v>
      </c>
      <c r="F18" s="100" t="s">
        <v>67</v>
      </c>
      <c r="G18" s="97"/>
    </row>
    <row r="19" spans="1:7" s="63" customFormat="1" ht="12.75">
      <c r="A19" s="353" t="s">
        <v>68</v>
      </c>
      <c r="B19" s="354"/>
      <c r="C19" s="354"/>
      <c r="D19" s="101">
        <f>E14</f>
        <v>631.5745654743803</v>
      </c>
      <c r="E19" s="274">
        <v>360</v>
      </c>
      <c r="F19" s="268">
        <f aca="true" t="shared" si="0" ref="F19:F24">D19-E19</f>
        <v>271.5745654743803</v>
      </c>
      <c r="G19" s="102"/>
    </row>
    <row r="20" spans="1:7" s="63" customFormat="1" ht="12.75">
      <c r="A20" s="103" t="s">
        <v>100</v>
      </c>
      <c r="B20" s="104"/>
      <c r="C20" s="104"/>
      <c r="D20" s="246">
        <f>E14/12*8</f>
        <v>421.04971031625354</v>
      </c>
      <c r="E20" s="275">
        <f>360/12*8</f>
        <v>240</v>
      </c>
      <c r="F20" s="269">
        <f t="shared" si="0"/>
        <v>181.04971031625354</v>
      </c>
      <c r="G20" s="102"/>
    </row>
    <row r="21" spans="1:7" ht="13.5" thickBot="1">
      <c r="A21" s="103" t="s">
        <v>69</v>
      </c>
      <c r="B21" s="105"/>
      <c r="C21" s="105"/>
      <c r="D21" s="106">
        <f>E14/12*1</f>
        <v>52.63121378953169</v>
      </c>
      <c r="E21" s="107">
        <f>E19/12*1</f>
        <v>30</v>
      </c>
      <c r="F21" s="270">
        <f t="shared" si="0"/>
        <v>22.631213789531692</v>
      </c>
      <c r="G21" s="97"/>
    </row>
    <row r="22" spans="1:7" ht="12.75">
      <c r="A22" s="338" t="s">
        <v>307</v>
      </c>
      <c r="B22" s="339"/>
      <c r="C22" s="339"/>
      <c r="D22" s="106">
        <f>E14</f>
        <v>631.5745654743803</v>
      </c>
      <c r="E22" s="107">
        <f>E19</f>
        <v>360</v>
      </c>
      <c r="F22" s="107">
        <f t="shared" si="0"/>
        <v>271.5745654743803</v>
      </c>
      <c r="G22" s="97"/>
    </row>
    <row r="23" spans="1:7" ht="12.75">
      <c r="A23" s="338" t="s">
        <v>70</v>
      </c>
      <c r="B23" s="339"/>
      <c r="C23" s="339"/>
      <c r="D23" s="106">
        <f>E14/12*7</f>
        <v>368.41849652672187</v>
      </c>
      <c r="E23" s="107">
        <f>E19/12*7</f>
        <v>210</v>
      </c>
      <c r="F23" s="107">
        <f t="shared" si="0"/>
        <v>158.41849652672187</v>
      </c>
      <c r="G23" s="97"/>
    </row>
    <row r="24" spans="1:7" ht="13.5" thickBot="1">
      <c r="A24" s="103" t="s">
        <v>71</v>
      </c>
      <c r="B24" s="105"/>
      <c r="C24" s="105"/>
      <c r="D24" s="106">
        <f>(D22+D23)/3</f>
        <v>333.331020667034</v>
      </c>
      <c r="E24" s="107">
        <f>(E22+E23)/3</f>
        <v>190</v>
      </c>
      <c r="F24" s="107">
        <f t="shared" si="0"/>
        <v>143.331020667034</v>
      </c>
      <c r="G24" s="97"/>
    </row>
    <row r="25" spans="1:7" ht="12.75">
      <c r="A25" s="103" t="s">
        <v>72</v>
      </c>
      <c r="B25" s="105"/>
      <c r="C25" s="105"/>
      <c r="D25" s="106" t="s">
        <v>73</v>
      </c>
      <c r="E25" s="276"/>
      <c r="F25" s="271">
        <f>(F19+F20+F21)*0.08</f>
        <v>38.02043916641324</v>
      </c>
      <c r="G25" s="97"/>
    </row>
    <row r="26" spans="1:7" ht="13.5" thickBot="1">
      <c r="A26" s="103" t="s">
        <v>74</v>
      </c>
      <c r="B26" s="105"/>
      <c r="C26" s="105"/>
      <c r="D26" s="106" t="s">
        <v>73</v>
      </c>
      <c r="E26" s="276"/>
      <c r="F26" s="270">
        <f>F25*0.4</f>
        <v>15.208175666565296</v>
      </c>
      <c r="G26" s="97"/>
    </row>
    <row r="27" spans="1:7" ht="12.75">
      <c r="A27" s="103" t="s">
        <v>101</v>
      </c>
      <c r="B27" s="105"/>
      <c r="C27" s="105"/>
      <c r="D27" s="250">
        <f>E9</f>
        <v>360</v>
      </c>
      <c r="E27" s="107">
        <v>0</v>
      </c>
      <c r="F27" s="107">
        <f>D27-E27</f>
        <v>360</v>
      </c>
      <c r="G27" s="97"/>
    </row>
    <row r="28" spans="1:7" ht="13.5" thickBot="1">
      <c r="A28" s="103" t="s">
        <v>75</v>
      </c>
      <c r="B28" s="105"/>
      <c r="C28" s="105"/>
      <c r="D28" s="106">
        <f>SUM(D19:D27)</f>
        <v>2798.5795722483017</v>
      </c>
      <c r="E28" s="277">
        <f>SUM(E19:E27)</f>
        <v>1390</v>
      </c>
      <c r="F28" s="107">
        <f>SUM(F19:F27)</f>
        <v>1461.80818708128</v>
      </c>
      <c r="G28" s="97"/>
    </row>
    <row r="29" spans="1:7" ht="13.5" thickBot="1">
      <c r="A29" s="108" t="s">
        <v>76</v>
      </c>
      <c r="B29" s="109"/>
      <c r="C29" s="109"/>
      <c r="D29" s="278" t="s">
        <v>73</v>
      </c>
      <c r="E29" s="279"/>
      <c r="F29" s="280">
        <f>'INSS Emp-Emprg'!D30</f>
        <v>14.158087346731028</v>
      </c>
      <c r="G29" s="97"/>
    </row>
    <row r="30" spans="1:7" ht="16.5" thickBot="1">
      <c r="A30" s="272" t="s">
        <v>77</v>
      </c>
      <c r="B30" s="273"/>
      <c r="C30" s="273"/>
      <c r="D30" s="273"/>
      <c r="E30" s="110" t="s">
        <v>28</v>
      </c>
      <c r="F30" s="248">
        <f>SUM(F28-F29)</f>
        <v>1447.650099734549</v>
      </c>
      <c r="G30" s="97"/>
    </row>
    <row r="31" spans="1:7" ht="6" customHeight="1" thickBot="1">
      <c r="A31" s="79"/>
      <c r="B31" s="80"/>
      <c r="C31" s="80"/>
      <c r="D31" s="80"/>
      <c r="E31" s="80"/>
      <c r="F31" s="111"/>
      <c r="G31" s="97"/>
    </row>
    <row r="32" spans="1:7" ht="15.75" thickBot="1">
      <c r="A32" s="345" t="s">
        <v>78</v>
      </c>
      <c r="B32" s="346"/>
      <c r="C32" s="346"/>
      <c r="D32" s="346"/>
      <c r="E32" s="346"/>
      <c r="F32" s="347"/>
      <c r="G32" s="97"/>
    </row>
    <row r="33" spans="1:7" ht="13.5" customHeight="1" thickBot="1">
      <c r="A33" s="84"/>
      <c r="B33" s="85"/>
      <c r="C33" s="85"/>
      <c r="D33" s="85"/>
      <c r="E33" s="85"/>
      <c r="F33" s="112"/>
      <c r="G33" s="97"/>
    </row>
    <row r="34" spans="1:7" ht="17.25" customHeight="1" thickBot="1">
      <c r="A34" s="82" t="s">
        <v>79</v>
      </c>
      <c r="B34" s="49"/>
      <c r="C34" s="49"/>
      <c r="D34" s="49"/>
      <c r="E34" s="113" t="s">
        <v>28</v>
      </c>
      <c r="F34" s="249">
        <f>Planilha!V26</f>
        <v>4945.53143303311</v>
      </c>
      <c r="G34" s="288" t="s">
        <v>315</v>
      </c>
    </row>
    <row r="35" spans="1:7" ht="18" thickBot="1">
      <c r="A35" s="82" t="s">
        <v>80</v>
      </c>
      <c r="B35" s="49"/>
      <c r="C35" s="49"/>
      <c r="D35" s="49"/>
      <c r="E35" s="110" t="s">
        <v>28</v>
      </c>
      <c r="F35" s="247">
        <f>F30</f>
        <v>1447.650099734549</v>
      </c>
      <c r="G35" s="97"/>
    </row>
    <row r="36" spans="1:7" ht="16.5" thickBot="1">
      <c r="A36" s="114" t="s">
        <v>81</v>
      </c>
      <c r="B36" s="115"/>
      <c r="C36" s="115"/>
      <c r="D36" s="115"/>
      <c r="E36" s="110" t="s">
        <v>28</v>
      </c>
      <c r="F36" s="116">
        <f>SUM(F34:F35)</f>
        <v>6393.1815327676595</v>
      </c>
      <c r="G36" s="97"/>
    </row>
    <row r="37" spans="1:7" ht="9" customHeight="1" thickBot="1">
      <c r="A37" s="117"/>
      <c r="B37" s="118"/>
      <c r="C37" s="118"/>
      <c r="D37" s="118"/>
      <c r="E37" s="118"/>
      <c r="F37" s="119"/>
      <c r="G37" s="97"/>
    </row>
  </sheetData>
  <mergeCells count="8">
    <mergeCell ref="A23:C23"/>
    <mergeCell ref="A32:F32"/>
    <mergeCell ref="A5:F5"/>
    <mergeCell ref="A9:C9"/>
    <mergeCell ref="A19:C19"/>
    <mergeCell ref="A22:C22"/>
    <mergeCell ref="A17:C17"/>
    <mergeCell ref="A18:C18"/>
  </mergeCells>
  <printOptions horizontalCentered="1" verticalCentered="1"/>
  <pageMargins left="0.7874015748031497" right="0.7874015748031497" top="1.062992125984252" bottom="0.984251968503937" header="0.5118110236220472" footer="0.5118110236220472"/>
  <pageSetup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35"/>
  <sheetViews>
    <sheetView workbookViewId="0" topLeftCell="A1">
      <selection activeCell="A1" sqref="A1:F35"/>
    </sheetView>
  </sheetViews>
  <sheetFormatPr defaultColWidth="9.140625" defaultRowHeight="12.75"/>
  <cols>
    <col min="1" max="1" width="17.00390625" style="0" customWidth="1"/>
    <col min="2" max="2" width="11.28125" style="0" customWidth="1"/>
    <col min="3" max="3" width="12.00390625" style="0" customWidth="1"/>
    <col min="4" max="4" width="10.140625" style="0" customWidth="1"/>
    <col min="5" max="5" width="10.28125" style="0" customWidth="1"/>
    <col min="6" max="6" width="17.8515625" style="0" customWidth="1"/>
  </cols>
  <sheetData>
    <row r="1" spans="1:89" ht="12.75">
      <c r="A1" s="56" t="str">
        <f>'[1]Planilha'!B1</f>
        <v>PROCESSO:33/96 DA  33a.VT/RJ</v>
      </c>
      <c r="B1" s="123"/>
      <c r="C1" s="123"/>
      <c r="D1" s="123"/>
      <c r="E1" s="123"/>
      <c r="F1" s="1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2.75">
      <c r="A2" s="58" t="str">
        <f>'[1]Planilha'!B2</f>
        <v>RTE: JOÃO DA SILVA</v>
      </c>
      <c r="B2" s="126"/>
      <c r="C2" s="126"/>
      <c r="D2" s="126"/>
      <c r="E2" s="126"/>
      <c r="F2" s="12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3.5" thickBot="1">
      <c r="A3" s="61" t="str">
        <f>'[1]Planilha'!B3</f>
        <v>RDA: DELTA LTDA.</v>
      </c>
      <c r="B3" s="129"/>
      <c r="C3" s="129"/>
      <c r="D3" s="129"/>
      <c r="E3" s="129"/>
      <c r="F3" s="1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6" ht="13.5" customHeight="1" thickBot="1">
      <c r="A4" s="163"/>
      <c r="B4" s="164"/>
      <c r="C4" s="164"/>
      <c r="D4" s="164"/>
      <c r="E4" s="164"/>
      <c r="F4" s="165"/>
    </row>
    <row r="5" spans="1:6" ht="13.5" thickBot="1">
      <c r="A5" s="358" t="s">
        <v>97</v>
      </c>
      <c r="B5" s="359"/>
      <c r="C5" s="359"/>
      <c r="D5" s="359"/>
      <c r="E5" s="359"/>
      <c r="F5" s="360"/>
    </row>
    <row r="6" spans="1:6" ht="13.5" customHeight="1" thickBot="1">
      <c r="A6" s="166"/>
      <c r="B6" s="167"/>
      <c r="C6" s="167"/>
      <c r="D6" s="167"/>
      <c r="E6" s="167"/>
      <c r="F6" s="168"/>
    </row>
    <row r="7" spans="1:6" ht="13.5" thickBot="1">
      <c r="A7" s="335" t="str">
        <f>'Atualização c-Incid. IR'!A7:F7</f>
        <v>Ajuizamento em 16/10/1997 =&gt; Juros de 107,47% =&gt; 30/09/2006</v>
      </c>
      <c r="B7" s="336"/>
      <c r="C7" s="336"/>
      <c r="D7" s="336"/>
      <c r="E7" s="336"/>
      <c r="F7" s="337"/>
    </row>
    <row r="8" spans="1:6" ht="13.5" thickBot="1">
      <c r="A8" s="169"/>
      <c r="B8" s="170"/>
      <c r="C8" s="170"/>
      <c r="D8" s="170"/>
      <c r="E8" s="170"/>
      <c r="F8" s="171"/>
    </row>
    <row r="9" spans="1:6" ht="12.75">
      <c r="A9" s="172" t="s">
        <v>23</v>
      </c>
      <c r="B9" s="173" t="s">
        <v>83</v>
      </c>
      <c r="C9" s="174" t="s">
        <v>84</v>
      </c>
      <c r="D9" s="175" t="s">
        <v>85</v>
      </c>
      <c r="E9" s="176" t="s">
        <v>86</v>
      </c>
      <c r="F9" s="177" t="s">
        <v>87</v>
      </c>
    </row>
    <row r="10" spans="1:6" ht="12.75">
      <c r="A10" s="178" t="s">
        <v>25</v>
      </c>
      <c r="B10" s="179" t="s">
        <v>88</v>
      </c>
      <c r="C10" s="139" t="s">
        <v>49</v>
      </c>
      <c r="D10" s="140" t="s">
        <v>89</v>
      </c>
      <c r="E10" s="180" t="s">
        <v>42</v>
      </c>
      <c r="F10" s="141" t="s">
        <v>123</v>
      </c>
    </row>
    <row r="11" spans="1:6" s="1" customFormat="1" ht="12.75" customHeight="1">
      <c r="A11" s="181">
        <f>Planilha!B7</f>
        <v>35125</v>
      </c>
      <c r="B11" s="143">
        <f>Planilha!T7+Planilha!U7</f>
        <v>25.346959444275484</v>
      </c>
      <c r="C11" s="196" t="str">
        <f>'Atualização c-Incid. IR'!C11</f>
        <v>    1,602398547</v>
      </c>
      <c r="D11" s="143">
        <f>B11*C11</f>
        <v>40.61593098437496</v>
      </c>
      <c r="E11" s="182">
        <f>D11*107.47%</f>
        <v>43.64994102890777</v>
      </c>
      <c r="F11" s="145">
        <f>D11+E11</f>
        <v>84.26587201328273</v>
      </c>
    </row>
    <row r="12" spans="1:6" s="1" customFormat="1" ht="12.75" customHeight="1">
      <c r="A12" s="181">
        <f>Planilha!B8</f>
        <v>35156</v>
      </c>
      <c r="B12" s="143">
        <f>Planilha!T8+Planilha!U8</f>
        <v>25.346959444275484</v>
      </c>
      <c r="C12" s="196" t="str">
        <f>'Atualização c-Incid. IR'!C12</f>
        <v>    1,589461916</v>
      </c>
      <c r="D12" s="143">
        <f aca="true" t="shared" si="0" ref="D12:D32">B12*C12</f>
        <v>40.288026723072406</v>
      </c>
      <c r="E12" s="182">
        <f aca="true" t="shared" si="1" ref="E12:E32">D12*107.47%</f>
        <v>43.29754231928592</v>
      </c>
      <c r="F12" s="145">
        <f aca="true" t="shared" si="2" ref="F12:F32">D12+E12</f>
        <v>83.58556904235832</v>
      </c>
    </row>
    <row r="13" spans="1:6" s="1" customFormat="1" ht="12.75" customHeight="1">
      <c r="A13" s="181">
        <f>Planilha!B9</f>
        <v>35186</v>
      </c>
      <c r="B13" s="143">
        <f>Planilha!T9+Planilha!U9</f>
        <v>28.38859457758854</v>
      </c>
      <c r="C13" s="196" t="str">
        <f>'Atualização c-Incid. IR'!C13</f>
        <v>    1,579044957</v>
      </c>
      <c r="D13" s="143">
        <f t="shared" si="0"/>
        <v>44.826867104058735</v>
      </c>
      <c r="E13" s="182">
        <f t="shared" si="1"/>
        <v>48.175434076731925</v>
      </c>
      <c r="F13" s="145">
        <f t="shared" si="2"/>
        <v>93.00230118079065</v>
      </c>
    </row>
    <row r="14" spans="1:6" s="1" customFormat="1" ht="12.75" customHeight="1">
      <c r="A14" s="181">
        <f>Planilha!B10</f>
        <v>35217</v>
      </c>
      <c r="B14" s="143">
        <f>Planilha!T10+Planilha!U10</f>
        <v>28.38859457758854</v>
      </c>
      <c r="C14" s="196" t="str">
        <f>'Atualização c-Incid. IR'!C14</f>
        <v>    1,569801963</v>
      </c>
      <c r="D14" s="143">
        <f t="shared" si="0"/>
        <v>44.56447149470965</v>
      </c>
      <c r="E14" s="182">
        <f t="shared" si="1"/>
        <v>47.89343751536446</v>
      </c>
      <c r="F14" s="145">
        <f t="shared" si="2"/>
        <v>92.4579090100741</v>
      </c>
    </row>
    <row r="15" spans="1:6" s="1" customFormat="1" ht="12.75" customHeight="1">
      <c r="A15" s="181">
        <f>Planilha!B11</f>
        <v>35247</v>
      </c>
      <c r="B15" s="143">
        <f>Planilha!T11+Planilha!U11</f>
        <v>28.38859457758854</v>
      </c>
      <c r="C15" s="196" t="str">
        <f>'Atualização c-Incid. IR'!C15</f>
        <v>    1,560285780</v>
      </c>
      <c r="D15" s="143">
        <f t="shared" si="0"/>
        <v>44.29432043359651</v>
      </c>
      <c r="E15" s="182">
        <f t="shared" si="1"/>
        <v>47.60310616998617</v>
      </c>
      <c r="F15" s="145">
        <f t="shared" si="2"/>
        <v>91.89742660358269</v>
      </c>
    </row>
    <row r="16" spans="1:6" s="1" customFormat="1" ht="12.75" customHeight="1">
      <c r="A16" s="181">
        <f>Planilha!B12</f>
        <v>35278</v>
      </c>
      <c r="B16" s="143">
        <f>Planilha!T12+Planilha!U12</f>
        <v>28.38859457758854</v>
      </c>
      <c r="C16" s="196" t="str">
        <f>'Atualização c-Incid. IR'!C16</f>
        <v>    1,551209652</v>
      </c>
      <c r="D16" s="143">
        <f t="shared" si="0"/>
        <v>44.03666191547021</v>
      </c>
      <c r="E16" s="182">
        <f t="shared" si="1"/>
        <v>47.32620056055584</v>
      </c>
      <c r="F16" s="145">
        <f t="shared" si="2"/>
        <v>91.36286247602605</v>
      </c>
    </row>
    <row r="17" spans="1:6" s="1" customFormat="1" ht="12.75" customHeight="1">
      <c r="A17" s="181">
        <f>Planilha!B13</f>
        <v>35309</v>
      </c>
      <c r="B17" s="143">
        <f>Planilha!T13+Planilha!U13</f>
        <v>28.38859457758854</v>
      </c>
      <c r="C17" s="196" t="str">
        <f>'Atualização c-Incid. IR'!C17</f>
        <v>    1,541536511</v>
      </c>
      <c r="D17" s="143">
        <f t="shared" si="0"/>
        <v>43.76205503732936</v>
      </c>
      <c r="E17" s="182">
        <f t="shared" si="1"/>
        <v>47.031080548617865</v>
      </c>
      <c r="F17" s="145">
        <f t="shared" si="2"/>
        <v>90.79313558594723</v>
      </c>
    </row>
    <row r="18" spans="1:6" s="1" customFormat="1" ht="12.75" customHeight="1">
      <c r="A18" s="181">
        <f>Planilha!B14</f>
        <v>35339</v>
      </c>
      <c r="B18" s="143">
        <f>Planilha!T14+Planilha!U14</f>
        <v>28.38859457758854</v>
      </c>
      <c r="C18" s="196" t="str">
        <f>'Atualização c-Incid. IR'!C18</f>
        <v>    1,531398651</v>
      </c>
      <c r="D18" s="143">
        <f t="shared" si="0"/>
        <v>43.47425543990501</v>
      </c>
      <c r="E18" s="182">
        <f t="shared" si="1"/>
        <v>46.72178232126591</v>
      </c>
      <c r="F18" s="145">
        <f t="shared" si="2"/>
        <v>90.19603776117091</v>
      </c>
    </row>
    <row r="19" spans="1:6" s="1" customFormat="1" ht="12.75" customHeight="1">
      <c r="A19" s="181">
        <f>Planilha!B15</f>
        <v>35370</v>
      </c>
      <c r="B19" s="143">
        <f>Planilha!T15+Planilha!U15</f>
        <v>28.38859457758854</v>
      </c>
      <c r="C19" s="196" t="str">
        <f>'Atualização c-Incid. IR'!C19</f>
        <v>    1,520120875</v>
      </c>
      <c r="D19" s="143">
        <f t="shared" si="0"/>
        <v>43.15409522930415</v>
      </c>
      <c r="E19" s="182">
        <f t="shared" si="1"/>
        <v>46.377706142933164</v>
      </c>
      <c r="F19" s="145">
        <f t="shared" si="2"/>
        <v>89.53180137223731</v>
      </c>
    </row>
    <row r="20" spans="1:6" s="1" customFormat="1" ht="12.75" customHeight="1">
      <c r="A20" s="181">
        <f>Planilha!B16</f>
        <v>35400</v>
      </c>
      <c r="B20" s="143">
        <f>Planilha!T16+Planilha!U16</f>
        <v>28.38859457758854</v>
      </c>
      <c r="C20" s="196" t="str">
        <f>'Atualização c-Incid. IR'!C20</f>
        <v>    1,507838026</v>
      </c>
      <c r="D20" s="143">
        <f>B20*C20</f>
        <v>42.80540240878541</v>
      </c>
      <c r="E20" s="182">
        <f t="shared" si="1"/>
        <v>46.00296596872168</v>
      </c>
      <c r="F20" s="145">
        <f t="shared" si="2"/>
        <v>88.8083683775071</v>
      </c>
    </row>
    <row r="21" spans="1:6" s="1" customFormat="1" ht="12.75" customHeight="1">
      <c r="A21" s="181" t="str">
        <f>Planilha!B17</f>
        <v>13º/96</v>
      </c>
      <c r="B21" s="143">
        <f>Planilha!T17+Planilha!U17</f>
        <v>23.291615352855835</v>
      </c>
      <c r="C21" s="196" t="str">
        <f>'Atualização c-Incid. IR'!C21</f>
        <v>    1,507838026</v>
      </c>
      <c r="D21" s="183">
        <f t="shared" si="0"/>
        <v>35.11998331600144</v>
      </c>
      <c r="E21" s="182">
        <f t="shared" si="1"/>
        <v>37.74344606970674</v>
      </c>
      <c r="F21" s="146">
        <f t="shared" si="2"/>
        <v>72.86342938570817</v>
      </c>
    </row>
    <row r="22" spans="1:6" s="1" customFormat="1" ht="12.75" customHeight="1">
      <c r="A22" s="181">
        <f>Planilha!B18</f>
        <v>35431</v>
      </c>
      <c r="B22" s="143">
        <f>Planilha!T18+Planilha!U18</f>
        <v>28.38859457758854</v>
      </c>
      <c r="C22" s="196" t="str">
        <f>'Atualização c-Incid. IR'!C22</f>
        <v>    1,494807787</v>
      </c>
      <c r="D22" s="143">
        <f t="shared" si="0"/>
        <v>42.43549223656533</v>
      </c>
      <c r="E22" s="182">
        <f t="shared" si="1"/>
        <v>45.60542350663676</v>
      </c>
      <c r="F22" s="145">
        <f t="shared" si="2"/>
        <v>88.04091574320209</v>
      </c>
    </row>
    <row r="23" spans="1:6" s="1" customFormat="1" ht="12.75" customHeight="1">
      <c r="A23" s="181">
        <f>Planilha!B19</f>
        <v>35462</v>
      </c>
      <c r="B23" s="143">
        <f>Planilha!T19+Planilha!U19</f>
        <v>28.38859457758854</v>
      </c>
      <c r="C23" s="196" t="str">
        <f>'Atualização c-Incid. IR'!C23</f>
        <v>    1,483768549</v>
      </c>
      <c r="D23" s="143">
        <f t="shared" si="0"/>
        <v>42.12210378453782</v>
      </c>
      <c r="E23" s="182">
        <f t="shared" si="1"/>
        <v>45.2686249372428</v>
      </c>
      <c r="F23" s="145">
        <f t="shared" si="2"/>
        <v>87.39072872178062</v>
      </c>
    </row>
    <row r="24" spans="1:6" s="1" customFormat="1" ht="12.75" customHeight="1">
      <c r="A24" s="181">
        <f>Planilha!B20</f>
        <v>35490</v>
      </c>
      <c r="B24" s="143">
        <f>Planilha!T20+Planilha!U20</f>
        <v>28.38859457758854</v>
      </c>
      <c r="C24" s="196" t="str">
        <f>'Atualização c-Incid. IR'!C24</f>
        <v>    1,474016456</v>
      </c>
      <c r="D24" s="143">
        <f t="shared" si="0"/>
        <v>41.84525557007788</v>
      </c>
      <c r="E24" s="182">
        <f t="shared" si="1"/>
        <v>44.9710961611627</v>
      </c>
      <c r="F24" s="145">
        <f t="shared" si="2"/>
        <v>86.81635173124059</v>
      </c>
    </row>
    <row r="25" spans="1:6" s="1" customFormat="1" ht="12.75" customHeight="1">
      <c r="A25" s="181">
        <f>Planilha!B21</f>
        <v>35521</v>
      </c>
      <c r="B25" s="143">
        <f>Planilha!T21+Planilha!U21</f>
        <v>28.38859457758854</v>
      </c>
      <c r="C25" s="196" t="str">
        <f>'Atualização c-Incid. IR'!C25</f>
        <v>    1,464765000</v>
      </c>
      <c r="D25" s="143">
        <f t="shared" si="0"/>
        <v>41.58261973644148</v>
      </c>
      <c r="E25" s="182">
        <f t="shared" si="1"/>
        <v>44.688841430753655</v>
      </c>
      <c r="F25" s="145">
        <f t="shared" si="2"/>
        <v>86.27146116719513</v>
      </c>
    </row>
    <row r="26" spans="1:6" s="1" customFormat="1" ht="12.75" customHeight="1">
      <c r="A26" s="181">
        <f>Planilha!B22</f>
        <v>35551</v>
      </c>
      <c r="B26" s="143">
        <f>Planilha!T22+Planilha!U22</f>
        <v>30.416351333130585</v>
      </c>
      <c r="C26" s="196" t="str">
        <f>'Atualização c-Incid. IR'!C26</f>
        <v>    1,455723501</v>
      </c>
      <c r="D26" s="143">
        <f t="shared" si="0"/>
        <v>44.27779745031087</v>
      </c>
      <c r="E26" s="182">
        <f t="shared" si="1"/>
        <v>47.58534891984909</v>
      </c>
      <c r="F26" s="145">
        <f t="shared" si="2"/>
        <v>91.86314637015997</v>
      </c>
    </row>
    <row r="27" spans="1:6" s="1" customFormat="1" ht="12.75" customHeight="1">
      <c r="A27" s="181">
        <f>Planilha!B23</f>
        <v>35582</v>
      </c>
      <c r="B27" s="143">
        <f>Planilha!T23+Planilha!U23</f>
        <v>30.416351333130585</v>
      </c>
      <c r="C27" s="196" t="str">
        <f>'Atualização c-Incid. IR'!C27</f>
        <v>    1,446532236</v>
      </c>
      <c r="D27" s="143">
        <f t="shared" si="0"/>
        <v>43.998232704874965</v>
      </c>
      <c r="E27" s="182">
        <f t="shared" si="1"/>
        <v>47.284900687929124</v>
      </c>
      <c r="F27" s="145">
        <f t="shared" si="2"/>
        <v>91.28313339280409</v>
      </c>
    </row>
    <row r="28" spans="1:6" s="1" customFormat="1" ht="12.75" customHeight="1">
      <c r="A28" s="181">
        <f>Planilha!B24</f>
        <v>35612</v>
      </c>
      <c r="B28" s="143">
        <f>Planilha!T24+Planilha!U24</f>
        <v>30.416351333130585</v>
      </c>
      <c r="C28" s="144" t="str">
        <f>'Atualização c-Incid. IR'!C28</f>
        <v>    1,437140522</v>
      </c>
      <c r="D28" s="143">
        <f t="shared" si="0"/>
        <v>43.712571032230684</v>
      </c>
      <c r="E28" s="182">
        <f t="shared" si="1"/>
        <v>46.977900088338316</v>
      </c>
      <c r="F28" s="145">
        <f t="shared" si="2"/>
        <v>90.690471120569</v>
      </c>
    </row>
    <row r="29" spans="1:6" s="1" customFormat="1" ht="12.75" customHeight="1">
      <c r="A29" s="181">
        <f>Planilha!B25</f>
        <v>35643</v>
      </c>
      <c r="B29" s="143">
        <f>Planilha!T25+Planilha!U25</f>
        <v>30.416351333130585</v>
      </c>
      <c r="C29" s="144" t="str">
        <f>'Atualização c-Incid. IR'!C29</f>
        <v>    1,427745954</v>
      </c>
      <c r="D29" s="143">
        <f t="shared" si="0"/>
        <v>43.426822551319695</v>
      </c>
      <c r="E29" s="182">
        <f t="shared" si="1"/>
        <v>46.670806195903275</v>
      </c>
      <c r="F29" s="145">
        <f t="shared" si="2"/>
        <v>90.09762874722297</v>
      </c>
    </row>
    <row r="30" spans="1:6" s="1" customFormat="1" ht="12.75" customHeight="1">
      <c r="A30" s="181" t="s">
        <v>27</v>
      </c>
      <c r="B30" s="143">
        <f>Apurações!F19</f>
        <v>271.5745654743803</v>
      </c>
      <c r="C30" s="144" t="str">
        <f>'Atualização c-Incid. IR'!C30</f>
        <v>    1,427745954</v>
      </c>
      <c r="D30" s="143">
        <f t="shared" si="0"/>
        <v>387.7394870653545</v>
      </c>
      <c r="E30" s="182">
        <f t="shared" si="1"/>
        <v>416.7036267491365</v>
      </c>
      <c r="F30" s="145">
        <f t="shared" si="2"/>
        <v>804.443113814491</v>
      </c>
    </row>
    <row r="31" spans="1:6" s="1" customFormat="1" ht="12.75" customHeight="1">
      <c r="A31" s="181" t="s">
        <v>103</v>
      </c>
      <c r="B31" s="143">
        <f>Apurações!F27</f>
        <v>360</v>
      </c>
      <c r="C31" s="144" t="str">
        <f>'Atualização c-Incid. IR'!C31</f>
        <v>    1,427745954</v>
      </c>
      <c r="D31" s="143">
        <f t="shared" si="0"/>
        <v>513.98854344</v>
      </c>
      <c r="E31" s="182">
        <f t="shared" si="1"/>
        <v>552.3834876349679</v>
      </c>
      <c r="F31" s="145">
        <f t="shared" si="2"/>
        <v>1066.3720310749677</v>
      </c>
    </row>
    <row r="32" spans="1:6" s="184" customFormat="1" ht="12.75">
      <c r="A32" s="185" t="s">
        <v>98</v>
      </c>
      <c r="B32" s="143">
        <f>Apurações!F25+Apurações!F26</f>
        <v>53.228614832978536</v>
      </c>
      <c r="C32" s="144" t="str">
        <f>'Atualização c-Incid. IR'!C33</f>
        <v>    1,427745954</v>
      </c>
      <c r="D32" s="186">
        <f t="shared" si="0"/>
        <v>75.99693946480949</v>
      </c>
      <c r="E32" s="182">
        <f t="shared" si="1"/>
        <v>81.67391084283075</v>
      </c>
      <c r="F32" s="187">
        <f t="shared" si="2"/>
        <v>157.67085030764025</v>
      </c>
    </row>
    <row r="33" spans="1:6" s="184" customFormat="1" ht="13.5" thickBot="1">
      <c r="A33" s="215" t="s">
        <v>99</v>
      </c>
      <c r="B33" s="216">
        <f>SUM(B28:B32)</f>
        <v>745.63588297362</v>
      </c>
      <c r="C33" s="217"/>
      <c r="D33" s="218">
        <f>SUM(D11:D32)</f>
        <v>1788.0679351231304</v>
      </c>
      <c r="E33" s="219">
        <f>SUM(E11:E32)</f>
        <v>1921.6366098768283</v>
      </c>
      <c r="F33" s="220">
        <f>SUM(F11:F32)</f>
        <v>3709.704544999958</v>
      </c>
    </row>
    <row r="34" spans="1:6" s="184" customFormat="1" ht="13.5" thickBot="1">
      <c r="A34" s="121" t="s">
        <v>93</v>
      </c>
      <c r="B34" s="188"/>
      <c r="C34" s="189"/>
      <c r="D34" s="189"/>
      <c r="E34" s="190"/>
      <c r="F34" s="191">
        <f>SUM(F33:F33)</f>
        <v>3709.704544999958</v>
      </c>
    </row>
    <row r="35" spans="1:6" s="184" customFormat="1" ht="13.5" thickBot="1">
      <c r="A35" s="192" t="s">
        <v>94</v>
      </c>
      <c r="B35" s="193"/>
      <c r="C35" s="194" t="s">
        <v>95</v>
      </c>
      <c r="D35" s="198">
        <f>'Atualização c-Incid. IR'!D38</f>
        <v>0.01157612</v>
      </c>
      <c r="E35" s="195"/>
      <c r="F35" s="221">
        <f>F34/D35</f>
        <v>320461.8252920631</v>
      </c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</sheetData>
  <mergeCells count="2">
    <mergeCell ref="A5:F5"/>
    <mergeCell ref="A7:F7"/>
  </mergeCells>
  <printOptions horizontalCentered="1" verticalCentered="1"/>
  <pageMargins left="1.3779527559055118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GAGO</dc:creator>
  <cp:keywords/>
  <dc:description/>
  <cp:lastModifiedBy>Robson Gago</cp:lastModifiedBy>
  <cp:lastPrinted>2008-02-28T17:05:32Z</cp:lastPrinted>
  <dcterms:created xsi:type="dcterms:W3CDTF">2000-09-20T17:21:08Z</dcterms:created>
  <dcterms:modified xsi:type="dcterms:W3CDTF">2008-02-28T17:05:45Z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