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5685" tabRatio="601" firstSheet="2" activeTab="3"/>
  </bookViews>
  <sheets>
    <sheet name="Indice" sheetId="1" r:id="rId1"/>
    <sheet name="Planilha Inicial" sheetId="2" r:id="rId2"/>
    <sheet name="INSS das Partes" sheetId="3" r:id="rId3"/>
    <sheet name="Atualização c-Inc. IR" sheetId="4" r:id="rId4"/>
    <sheet name="Àpurações" sheetId="5" r:id="rId5"/>
    <sheet name="Atualização s-Inc.  IR" sheetId="6" r:id="rId6"/>
  </sheets>
  <definedNames>
    <definedName name="_xlnm.Print_Area" localSheetId="1">'Planilha Inicial'!$A$1:$P$37</definedName>
  </definedNames>
  <calcPr fullCalcOnLoad="1"/>
</workbook>
</file>

<file path=xl/sharedStrings.xml><?xml version="1.0" encoding="utf-8"?>
<sst xmlns="http://schemas.openxmlformats.org/spreadsheetml/2006/main" count="422" uniqueCount="349">
  <si>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</si>
  <si>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</si>
  <si>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</si>
  <si>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</si>
  <si>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</si>
  <si>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</si>
  <si>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</si>
  <si>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</si>
  <si>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</si>
  <si>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</si>
  <si>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</si>
  <si>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</si>
  <si>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PERÍODO</t>
  </si>
  <si>
    <t>H.EXT.</t>
  </si>
  <si>
    <t>RSR</t>
  </si>
  <si>
    <t>FGTS</t>
  </si>
  <si>
    <t>TOTAL</t>
  </si>
  <si>
    <t>MÊS/ANO</t>
  </si>
  <si>
    <t>No.</t>
  </si>
  <si>
    <t>A 50%</t>
  </si>
  <si>
    <t>INSS</t>
  </si>
  <si>
    <t>LIQUIDO</t>
  </si>
  <si>
    <t xml:space="preserve"> </t>
  </si>
  <si>
    <t>FÓRMULAS:</t>
  </si>
  <si>
    <t>RTE: JOÃO DA SILVA</t>
  </si>
  <si>
    <t>N</t>
  </si>
  <si>
    <t>O</t>
  </si>
  <si>
    <t>PROCESSO:33/96 DA  33a.VT/RJ</t>
  </si>
  <si>
    <t>RDA: DELTA LTDA.</t>
  </si>
  <si>
    <t>A 100%</t>
  </si>
  <si>
    <t>Período</t>
  </si>
  <si>
    <t>mês/ano</t>
  </si>
  <si>
    <t>Valor Rescisão</t>
  </si>
  <si>
    <t>Total</t>
  </si>
  <si>
    <t>Adicional</t>
  </si>
  <si>
    <t>Pericul.30%</t>
  </si>
  <si>
    <t>13º/95</t>
  </si>
  <si>
    <t>Salário</t>
  </si>
  <si>
    <t>Base</t>
  </si>
  <si>
    <t>Hora</t>
  </si>
  <si>
    <t>Valor</t>
  </si>
  <si>
    <t>Subtotal</t>
  </si>
  <si>
    <t>P</t>
  </si>
  <si>
    <t>Sal.</t>
  </si>
  <si>
    <t>H.E.</t>
  </si>
  <si>
    <t>Devido</t>
  </si>
  <si>
    <t>Totais</t>
  </si>
  <si>
    <t>G8 = E8*1,50*F8</t>
  </si>
  <si>
    <t>I8 = E8*2,00*H8</t>
  </si>
  <si>
    <t>K8 = D8+G8+I8+J8</t>
  </si>
  <si>
    <t>Demonstrativo dos cálculos</t>
  </si>
  <si>
    <t>Base Calc.</t>
  </si>
  <si>
    <t xml:space="preserve">Índice </t>
  </si>
  <si>
    <t>Base INSS</t>
  </si>
  <si>
    <t>INSS Rda.</t>
  </si>
  <si>
    <t>Apurada</t>
  </si>
  <si>
    <t>RDA.</t>
  </si>
  <si>
    <t>devidos</t>
  </si>
  <si>
    <t xml:space="preserve">Totais </t>
  </si>
  <si>
    <t>Juros</t>
  </si>
  <si>
    <t>conf. plan.</t>
  </si>
  <si>
    <t>L8 = conforme planilha INSS</t>
  </si>
  <si>
    <t>M8 = K8-L8</t>
  </si>
  <si>
    <t>CÁLCULO DAS VERBAS RESILITÓRIAS</t>
  </si>
  <si>
    <t>MAIOR REMUNERAÇÃO</t>
  </si>
  <si>
    <t>R$</t>
  </si>
  <si>
    <t>Último salário</t>
  </si>
  <si>
    <t>VALOR À INTEGRAR</t>
  </si>
  <si>
    <t>VALOR</t>
  </si>
  <si>
    <t>DEVIDO</t>
  </si>
  <si>
    <t>PAGO</t>
  </si>
  <si>
    <t>DIFERENÇA</t>
  </si>
  <si>
    <t>1/3 S/ FÉRIAS</t>
  </si>
  <si>
    <t>Sobre a Diferença</t>
  </si>
  <si>
    <t>40% FGTS RESCISÃO</t>
  </si>
  <si>
    <t>SUBTOTAL</t>
  </si>
  <si>
    <t>DESC. INSS  sobre 13º</t>
  </si>
  <si>
    <t>TOTAL APURADO</t>
  </si>
  <si>
    <t>RESUMO DO APURADO</t>
  </si>
  <si>
    <t xml:space="preserve">TOTAL DEVIDO QUADRO </t>
  </si>
  <si>
    <t>TOTAL VERBAS RESCISÓRIAS</t>
  </si>
  <si>
    <t>TOTAL APURADO VALOR HISTÓRICO</t>
  </si>
  <si>
    <t>Valores corrigidos com incidência de Imposto de Renda</t>
  </si>
  <si>
    <t>Indice de</t>
  </si>
  <si>
    <t xml:space="preserve">Valor </t>
  </si>
  <si>
    <t>Valor dos</t>
  </si>
  <si>
    <t>Correção</t>
  </si>
  <si>
    <t>Corrigido</t>
  </si>
  <si>
    <t>CM+Juros</t>
  </si>
  <si>
    <t>I. R. NA FONTE</t>
  </si>
  <si>
    <t>TOTAL EM R$</t>
  </si>
  <si>
    <t>TOTAL EM TR's</t>
  </si>
  <si>
    <t>I. R. EM TR's</t>
  </si>
  <si>
    <t>Valores corrigidos sem incidência de Imposto de Renda</t>
  </si>
  <si>
    <t>SUBTOTAL EM R$</t>
  </si>
  <si>
    <t>Adicional de Periculosidade 30% s/ sal. base</t>
  </si>
  <si>
    <t xml:space="preserve">Aviso Prévio </t>
  </si>
  <si>
    <t>13o.SAL. (6/12) AVOS</t>
  </si>
  <si>
    <t>13o.SAL. (1/12) AVOS indenizado</t>
  </si>
  <si>
    <t>1/3 S/ Férias</t>
  </si>
  <si>
    <t>Férias Venc. 95/96</t>
  </si>
  <si>
    <t xml:space="preserve">Férias prop.(07/12) AVOS  </t>
  </si>
  <si>
    <t xml:space="preserve"> Férias prop.</t>
  </si>
  <si>
    <t>Aviso Prévio</t>
  </si>
  <si>
    <t>FGTS+Multa Resc.</t>
  </si>
  <si>
    <t>FGTS da resc. AvPrev.+13o+13ºind.  X 0,08</t>
  </si>
  <si>
    <t>Valor da TR</t>
  </si>
  <si>
    <t>Índices de</t>
  </si>
  <si>
    <t>INSS - Empresa/Empregado - conf. lei 10035/00 - devidamente atualizados</t>
  </si>
  <si>
    <t>VERBAS DEVIDAS</t>
  </si>
  <si>
    <t>13º 1/12 avos ind.</t>
  </si>
  <si>
    <t>13o. 6/12 - INSS</t>
  </si>
  <si>
    <r>
      <t xml:space="preserve">                  </t>
    </r>
    <r>
      <rPr>
        <b/>
        <sz val="10"/>
        <rFont val="Arial"/>
        <family val="2"/>
      </rPr>
      <t>nº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3.000 de 26/03/1999, </t>
    </r>
    <r>
      <rPr>
        <b/>
        <sz val="9"/>
        <rFont val="Arial"/>
        <family val="2"/>
      </rPr>
      <t>seção VI, art. 56, ou seja, no caso  de rendimentos recebidos</t>
    </r>
    <r>
      <rPr>
        <b/>
        <sz val="10"/>
        <rFont val="Arial"/>
        <family val="2"/>
      </rPr>
      <t xml:space="preserve"> </t>
    </r>
  </si>
  <si>
    <r>
      <t xml:space="preserve">                  </t>
    </r>
    <r>
      <rPr>
        <b/>
        <sz val="10"/>
        <rFont val="Arial"/>
        <family val="2"/>
      </rPr>
      <t xml:space="preserve">acumuladamente, o imposto incidirá no mês do recebimento, sobre o total dos </t>
    </r>
  </si>
  <si>
    <t xml:space="preserve">                  rendimentos, inclusive juros e atualização monetária.</t>
  </si>
  <si>
    <t>D8 = C8*0,30</t>
  </si>
  <si>
    <t>E8 = (C8+D8)/220</t>
  </si>
  <si>
    <t>ajuizamento</t>
  </si>
  <si>
    <t>data atual</t>
  </si>
  <si>
    <t>juros</t>
  </si>
  <si>
    <t>1% ªm.</t>
  </si>
  <si>
    <t>simples</t>
  </si>
  <si>
    <t xml:space="preserve">  </t>
  </si>
  <si>
    <r>
      <t xml:space="preserve">Obs.: </t>
    </r>
    <r>
      <rPr>
        <b/>
        <sz val="9"/>
        <rFont val="Arial"/>
        <family val="2"/>
      </rPr>
      <t>O imposto de Renda também poderá ser calculado conforme determina o Decreto</t>
    </r>
    <r>
      <rPr>
        <b/>
        <sz val="10"/>
        <rFont val="Arial"/>
        <family val="2"/>
      </rPr>
      <t xml:space="preserve">             </t>
    </r>
  </si>
  <si>
    <t>MÉDIA  H.EXT. =&gt; 100% =&gt; 8,00h X 3,84 X 2</t>
  </si>
  <si>
    <t>MÉDIA  H.EXT. =&gt; 50% =&gt;43,30h X 3,84 X 1,50</t>
  </si>
  <si>
    <t xml:space="preserve">RSR 1/6  =&gt; </t>
  </si>
  <si>
    <t>Aplicado</t>
  </si>
  <si>
    <t>A Reter</t>
  </si>
  <si>
    <t>E=CxD</t>
  </si>
  <si>
    <t>Juros de</t>
  </si>
  <si>
    <t>H=FxG</t>
  </si>
  <si>
    <t>I=E+H</t>
  </si>
  <si>
    <t>K=IxJ</t>
  </si>
  <si>
    <t>L=KxJuros</t>
  </si>
  <si>
    <t>M=K+L</t>
  </si>
  <si>
    <t>Tabela s/ RDA</t>
  </si>
  <si>
    <t>INSS =20%</t>
  </si>
  <si>
    <t>Seguro = 2%</t>
  </si>
  <si>
    <t>Terceiros = 5,8%</t>
  </si>
  <si>
    <t>Total = 27,8%</t>
  </si>
  <si>
    <t>O8 =N8*0,40 (40%)</t>
  </si>
  <si>
    <t>N8 = K8*0,08 (8%)</t>
  </si>
  <si>
    <t>P8 = M8+N8+O8</t>
  </si>
  <si>
    <t>J8 = (G8+I8)/6</t>
  </si>
  <si>
    <t>PODER JUDICIÁRIO</t>
  </si>
  <si>
    <t>JUSTIÇA DO TRABALHO</t>
  </si>
  <si>
    <t>CONSELHO SUPERIOR DA JUSTIÇA DO TRABALHO</t>
  </si>
  <si>
    <t>TABELA ÚNICA DE ATUALIZAÇÃO E CONVERSÃO DE DÉBITOS TRABALHISTAS</t>
  </si>
  <si>
    <t>TABELA VIGENTE EM SETEMBRO DE 2006</t>
  </si>
  <si>
    <t>Mês/Ano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</si>
  <si>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</si>
  <si>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</si>
  <si>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</si>
  <si>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</si>
  <si>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</si>
  <si>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</si>
  <si>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</si>
  <si>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</si>
  <si>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</si>
  <si>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</si>
  <si>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</si>
  <si>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JAN</t>
  </si>
  <si>
    <t xml:space="preserve">    0,000212188</t>
  </si>
  <si>
    <t xml:space="preserve">    0,008241131</t>
  </si>
  <si>
    <t xml:space="preserve">    2,156092599</t>
  </si>
  <si>
    <t xml:space="preserve">    1,638086467</t>
  </si>
  <si>
    <t xml:space="preserve">    1,494807787</t>
  </si>
  <si>
    <t xml:space="preserve">    1,361577576</t>
  </si>
  <si>
    <t xml:space="preserve">    1,263130943</t>
  </si>
  <si>
    <t xml:space="preserve">    1,194680914</t>
  </si>
  <si>
    <t xml:space="preserve">    1,170150927</t>
  </si>
  <si>
    <t xml:space="preserve">    1,144007432</t>
  </si>
  <si>
    <t xml:space="preserve">    1,112820196</t>
  </si>
  <si>
    <t>FEV</t>
  </si>
  <si>
    <t xml:space="preserve">    0,000167393</t>
  </si>
  <si>
    <t xml:space="preserve">    0,005826591</t>
  </si>
  <si>
    <t xml:space="preserve">    2,111719047</t>
  </si>
  <si>
    <t xml:space="preserve">    1,617821633</t>
  </si>
  <si>
    <t xml:space="preserve">    1,483768549</t>
  </si>
  <si>
    <t xml:space="preserve">    1,346152020</t>
  </si>
  <si>
    <t xml:space="preserve">    1,256642896</t>
  </si>
  <si>
    <t xml:space="preserve">    1,192119050</t>
  </si>
  <si>
    <t xml:space="preserve">    1,168551181</t>
  </si>
  <si>
    <t xml:space="preserve">    1,141050969</t>
  </si>
  <si>
    <t xml:space="preserve">    1,107418210</t>
  </si>
  <si>
    <t>MAR</t>
  </si>
  <si>
    <t xml:space="preserve">    0,000132431</t>
  </si>
  <si>
    <t xml:space="preserve">    0,004166017</t>
  </si>
  <si>
    <t xml:space="preserve">    2,073298748</t>
  </si>
  <si>
    <t xml:space="preserve">    1,602398547</t>
  </si>
  <si>
    <t xml:space="preserve">    1,474016456</t>
  </si>
  <si>
    <t xml:space="preserve">    1,340173506</t>
  </si>
  <si>
    <t xml:space="preserve">    1,246301089</t>
  </si>
  <si>
    <t xml:space="preserve">    1,189350243</t>
  </si>
  <si>
    <t xml:space="preserve">    1,168121312</t>
  </si>
  <si>
    <t xml:space="preserve">    1,139716361</t>
  </si>
  <si>
    <t xml:space="preserve">    1,102878761</t>
  </si>
  <si>
    <t>ABR</t>
  </si>
  <si>
    <t xml:space="preserve">    0,000105263</t>
  </si>
  <si>
    <t xml:space="preserve">    0,002936917</t>
  </si>
  <si>
    <t xml:space="preserve">    2,026688955</t>
  </si>
  <si>
    <t xml:space="preserve">    1,589461916</t>
  </si>
  <si>
    <t xml:space="preserve">    1,464765000</t>
  </si>
  <si>
    <t xml:space="preserve">    1,328226112</t>
  </si>
  <si>
    <t xml:space="preserve">    1,231992726</t>
  </si>
  <si>
    <t xml:space="preserve">    1,186689685</t>
  </si>
  <si>
    <t xml:space="preserve">    1,166110937</t>
  </si>
  <si>
    <t xml:space="preserve">    1,137716256</t>
  </si>
  <si>
    <t xml:space="preserve">    1,098723389</t>
  </si>
  <si>
    <t>MAI</t>
  </si>
  <si>
    <t xml:space="preserve">    0,000082096</t>
  </si>
  <si>
    <t xml:space="preserve">    0,002012001</t>
  </si>
  <si>
    <t xml:space="preserve">    1,958783797</t>
  </si>
  <si>
    <t xml:space="preserve">    1,579044957</t>
  </si>
  <si>
    <t xml:space="preserve">    1,455723501</t>
  </si>
  <si>
    <t xml:space="preserve">    1,321986337</t>
  </si>
  <si>
    <t xml:space="preserve">    1,224532871</t>
  </si>
  <si>
    <t xml:space="preserve">    1,185147807</t>
  </si>
  <si>
    <t xml:space="preserve">    1,164310912</t>
  </si>
  <si>
    <t xml:space="preserve">    1,135040964</t>
  </si>
  <si>
    <t xml:space="preserve">    1,094145484</t>
  </si>
  <si>
    <t>JUN</t>
  </si>
  <si>
    <t xml:space="preserve">    0,000063798</t>
  </si>
  <si>
    <t xml:space="preserve">    0,001373942</t>
  </si>
  <si>
    <t xml:space="preserve">    1,897180451</t>
  </si>
  <si>
    <t xml:space="preserve">    1,569801963</t>
  </si>
  <si>
    <t xml:space="preserve">    1,446532236</t>
  </si>
  <si>
    <t xml:space="preserve">    1,316007714</t>
  </si>
  <si>
    <t xml:space="preserve">    1,217518746</t>
  </si>
  <si>
    <t xml:space="preserve">    1,182201760</t>
  </si>
  <si>
    <t xml:space="preserve">    1,162187595</t>
  </si>
  <si>
    <t xml:space="preserve">    1,132660113</t>
  </si>
  <si>
    <t xml:space="preserve">    1,089081257</t>
  </si>
  <si>
    <t>JUL</t>
  </si>
  <si>
    <t xml:space="preserve">    0,000049045</t>
  </si>
  <si>
    <t xml:space="preserve">    2,572482000</t>
  </si>
  <si>
    <t xml:space="preserve">    1,843958283</t>
  </si>
  <si>
    <t xml:space="preserve">    1,560285780</t>
  </si>
  <si>
    <t xml:space="preserve">    1,437140522</t>
  </si>
  <si>
    <t xml:space="preserve">    1,309573778</t>
  </si>
  <si>
    <t xml:space="preserve">    1,213746422</t>
  </si>
  <si>
    <t xml:space="preserve">    1,179677251</t>
  </si>
  <si>
    <t xml:space="preserve">    1,160495593</t>
  </si>
  <si>
    <t xml:space="preserve">    1,130871075</t>
  </si>
  <si>
    <t xml:space="preserve">    1,084562967</t>
  </si>
  <si>
    <t>AGO</t>
  </si>
  <si>
    <t xml:space="preserve">    0,037620000</t>
  </si>
  <si>
    <t xml:space="preserve">    2,449371638</t>
  </si>
  <si>
    <t xml:space="preserve">    1,790415896</t>
  </si>
  <si>
    <t xml:space="preserve">    1,551209652</t>
  </si>
  <si>
    <t xml:space="preserve">    1,427745954</t>
  </si>
  <si>
    <t xml:space="preserve">    1,302406634</t>
  </si>
  <si>
    <t xml:space="preserve">    1,210196914</t>
  </si>
  <si>
    <t xml:space="preserve">    1,177855109</t>
  </si>
  <si>
    <t xml:space="preserve">    1,157669721</t>
  </si>
  <si>
    <t xml:space="preserve">    1,127875438</t>
  </si>
  <si>
    <t xml:space="preserve">    1,078668046</t>
  </si>
  <si>
    <t>SET</t>
  </si>
  <si>
    <t xml:space="preserve">    0,028213705</t>
  </si>
  <si>
    <t xml:space="preserve">    2,398259922</t>
  </si>
  <si>
    <t xml:space="preserve">    1,744968199</t>
  </si>
  <si>
    <t xml:space="preserve">    1,541536511</t>
  </si>
  <si>
    <t xml:space="preserve">    1,418849766</t>
  </si>
  <si>
    <t xml:space="preserve">    1,297542148</t>
  </si>
  <si>
    <t xml:space="preserve">    1,206643350</t>
  </si>
  <si>
    <t xml:space="preserve">    1,175474773</t>
  </si>
  <si>
    <t xml:space="preserve">    1,153705589</t>
  </si>
  <si>
    <t xml:space="preserve">    1,125084104</t>
  </si>
  <si>
    <t xml:space="preserve">    1,074329902</t>
  </si>
  <si>
    <t>OUT</t>
  </si>
  <si>
    <t xml:space="preserve">    0,020958034</t>
  </si>
  <si>
    <t xml:space="preserve">    2,341156767</t>
  </si>
  <si>
    <t xml:space="preserve">    1,711771808</t>
  </si>
  <si>
    <t xml:space="preserve">    1,531398651</t>
  </si>
  <si>
    <t xml:space="preserve">    1,409723218</t>
  </si>
  <si>
    <t xml:space="preserve">    1,291713935</t>
  </si>
  <si>
    <t xml:space="preserve">    1,203376183</t>
  </si>
  <si>
    <t xml:space="preserve">    1,174255895</t>
  </si>
  <si>
    <t xml:space="preserve">    1,151831559</t>
  </si>
  <si>
    <t xml:space="preserve">    1,122888856</t>
  </si>
  <si>
    <t xml:space="preserve">    1,070727973</t>
  </si>
  <si>
    <t>NOV</t>
  </si>
  <si>
    <t xml:space="preserve">    0,015350497</t>
  </si>
  <si>
    <t xml:space="preserve">    2,282828224</t>
  </si>
  <si>
    <t xml:space="preserve">    1,683919775</t>
  </si>
  <si>
    <t xml:space="preserve">    1,520120875</t>
  </si>
  <si>
    <t xml:space="preserve">    1,400545443</t>
  </si>
  <si>
    <t xml:space="preserve">    1,280329247</t>
  </si>
  <si>
    <t xml:space="preserve">    1,200656696</t>
  </si>
  <si>
    <t xml:space="preserve">    1,172712605</t>
  </si>
  <si>
    <t xml:space="preserve">    1,148486019</t>
  </si>
  <si>
    <t xml:space="preserve">    1,119789279</t>
  </si>
  <si>
    <t xml:space="preserve">    1,067298742</t>
  </si>
  <si>
    <t>DEZ</t>
  </si>
  <si>
    <t xml:space="preserve">    0,011273867</t>
  </si>
  <si>
    <t xml:space="preserve">    2,218039296</t>
  </si>
  <si>
    <t xml:space="preserve">    1,660036825</t>
  </si>
  <si>
    <t xml:space="preserve">    1,507838026</t>
  </si>
  <si>
    <t xml:space="preserve">    1,379393819</t>
  </si>
  <si>
    <t xml:space="preserve">    1,272521058</t>
  </si>
  <si>
    <t xml:space="preserve">    1,198262567</t>
  </si>
  <si>
    <t xml:space="preserve">    1,171310547</t>
  </si>
  <si>
    <t xml:space="preserve">    1,146275999</t>
  </si>
  <si>
    <t xml:space="preserve">    1,116836364</t>
  </si>
  <si>
    <t xml:space="preserve">    1,065406580</t>
  </si>
  <si>
    <t>2004</t>
  </si>
  <si>
    <t>2005</t>
  </si>
  <si>
    <t>2006</t>
  </si>
  <si>
    <t xml:space="preserve">    1,063387208</t>
  </si>
  <si>
    <t xml:space="preserve">    1,044395726</t>
  </si>
  <si>
    <t xml:space="preserve">    1,015617927</t>
  </si>
  <si>
    <t xml:space="preserve">    1,062027813</t>
  </si>
  <si>
    <t xml:space="preserve">    1,042435946</t>
  </si>
  <si>
    <t xml:space="preserve">    1,013261082</t>
  </si>
  <si>
    <t xml:space="preserve">    1,061541626</t>
  </si>
  <si>
    <t xml:space="preserve">    1,041434087</t>
  </si>
  <si>
    <t xml:space="preserve">    1,012527000</t>
  </si>
  <si>
    <t xml:space="preserve">    1,059657555</t>
  </si>
  <si>
    <t xml:space="preserve">    1,038697120</t>
  </si>
  <si>
    <t xml:space="preserve">    1,010432374</t>
  </si>
  <si>
    <t xml:space="preserve">    1,058732223</t>
  </si>
  <si>
    <t xml:space="preserve">    1,036620768</t>
  </si>
  <si>
    <t xml:space="preserve">    1,009569192</t>
  </si>
  <si>
    <t xml:space="preserve">    1,057097950</t>
  </si>
  <si>
    <t xml:space="preserve">    1,034007831</t>
  </si>
  <si>
    <t xml:space="preserve">    1,007666717</t>
  </si>
  <si>
    <t xml:space="preserve">    1,055239673</t>
  </si>
  <si>
    <t xml:space="preserve">    1,030922280</t>
  </si>
  <si>
    <t xml:space="preserve">    1,005718640</t>
  </si>
  <si>
    <t xml:space="preserve">    1,053183858</t>
  </si>
  <si>
    <t xml:space="preserve">    1,028274473</t>
  </si>
  <si>
    <t xml:space="preserve">    1,003960705</t>
  </si>
  <si>
    <t xml:space="preserve">    1,051076450</t>
  </si>
  <si>
    <t xml:space="preserve">    1,024722784</t>
  </si>
  <si>
    <t xml:space="preserve">    1,001521000</t>
  </si>
  <si>
    <t xml:space="preserve">    1,049263323</t>
  </si>
  <si>
    <t xml:space="preserve">    1,022027697</t>
  </si>
  <si>
    <t>-</t>
  </si>
  <si>
    <t xml:space="preserve">    1,048102026</t>
  </si>
  <si>
    <t xml:space="preserve">    1,019885937</t>
  </si>
  <si>
    <t xml:space="preserve">    1,046902276</t>
  </si>
  <si>
    <t xml:space="preserve">    1,017922365</t>
  </si>
  <si>
    <t>Notas Técnicas:</t>
  </si>
  <si>
    <t>1.Os coeficientes de atualização acima consignados atualizam os débitos trabalhistas desde o primeiro dia do mês/ano indicado até o último dia do mês de vigência da Tabela;</t>
  </si>
  <si>
    <t>2. Esta Tabela não inclui juros de mora, que devem ser calculados sobre os valores corrigidos, de acordo com a legislação vigente em cada período;</t>
  </si>
  <si>
    <t>Informações:</t>
  </si>
  <si>
    <t>Assessoria Econômica do TST</t>
  </si>
  <si>
    <t>Ajuizamento em 31/08/1996  =&gt; Juros de 121% =&gt; 30/09/2006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</si>
</sst>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0"/>
    <numFmt numFmtId="177" formatCode="#,##0.0000"/>
    <numFmt numFmtId="178" formatCode="0.000000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#,##0.00000"/>
    <numFmt numFmtId="185" formatCode="#,##0.000000"/>
    <numFmt numFmtId="186" formatCode="_(* #,##0_);_(* \(#,##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_);_(* \(#,##0.000000\);_(* &quot;-&quot;??????????_);_(@_)"/>
    <numFmt numFmtId="191" formatCode="_(* #,##0.00000_);_(* \(#,##0.00000\);_(* &quot;-&quot;??????????_);_(@_)"/>
    <numFmt numFmtId="192" formatCode="_(* #,##0.0000_);_(* \(#,##0.0000\);_(* &quot;-&quot;??????????_);_(@_)"/>
    <numFmt numFmtId="193" formatCode="0.00000000"/>
    <numFmt numFmtId="194" formatCode="0.0000000"/>
    <numFmt numFmtId="195" formatCode="0.00000"/>
    <numFmt numFmtId="196" formatCode="0.0000"/>
    <numFmt numFmtId="197" formatCode="_(* #,##0.000000_);_(* \(#,##0.000000\);_(* &quot;-&quot;????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0.0%"/>
    <numFmt numFmtId="205" formatCode="_(* #,##0.0000_);_(* \(#,##0.0000\);_(* &quot;-&quot;??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b/>
      <sz val="8"/>
      <color indexed="18"/>
      <name val="Arial"/>
      <family val="2"/>
    </font>
    <font>
      <b/>
      <sz val="11"/>
      <color indexed="56"/>
      <name val="Arial"/>
      <family val="2"/>
    </font>
    <font>
      <b/>
      <u val="singleAccounting"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45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9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43" fontId="9" fillId="0" borderId="10" xfId="18" applyFont="1" applyBorder="1" applyAlignment="1">
      <alignment horizontal="center"/>
    </xf>
    <xf numFmtId="43" fontId="9" fillId="0" borderId="10" xfId="18" applyFont="1" applyFill="1" applyBorder="1" applyAlignment="1">
      <alignment horizontal="center"/>
    </xf>
    <xf numFmtId="17" fontId="10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9" fillId="0" borderId="0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17" fontId="9" fillId="0" borderId="0" xfId="0" applyNumberFormat="1" applyFont="1" applyAlignment="1">
      <alignment/>
    </xf>
    <xf numFmtId="43" fontId="9" fillId="0" borderId="11" xfId="18" applyFont="1" applyBorder="1" applyAlignment="1">
      <alignment horizontal="center"/>
    </xf>
    <xf numFmtId="43" fontId="9" fillId="0" borderId="11" xfId="18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17" fontId="9" fillId="0" borderId="0" xfId="0" applyNumberFormat="1" applyFont="1" applyFill="1" applyBorder="1" applyAlignment="1">
      <alignment horizontal="left"/>
    </xf>
    <xf numFmtId="43" fontId="9" fillId="0" borderId="0" xfId="18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6" xfId="0" applyBorder="1" applyAlignment="1">
      <alignment/>
    </xf>
    <xf numFmtId="0" fontId="4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2" borderId="3" xfId="0" applyFill="1" applyBorder="1" applyAlignment="1">
      <alignment/>
    </xf>
    <xf numFmtId="43" fontId="0" fillId="2" borderId="9" xfId="18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18" applyFont="1" applyBorder="1" applyAlignment="1">
      <alignment/>
    </xf>
    <xf numFmtId="43" fontId="0" fillId="0" borderId="7" xfId="18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3" fontId="7" fillId="0" borderId="16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43" fontId="7" fillId="2" borderId="16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" fillId="0" borderId="8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17" fontId="6" fillId="0" borderId="18" xfId="0" applyNumberFormat="1" applyFont="1" applyBorder="1" applyAlignment="1">
      <alignment/>
    </xf>
    <xf numFmtId="43" fontId="5" fillId="0" borderId="10" xfId="18" applyFont="1" applyBorder="1" applyAlignment="1">
      <alignment/>
    </xf>
    <xf numFmtId="43" fontId="5" fillId="0" borderId="19" xfId="18" applyFont="1" applyBorder="1" applyAlignment="1">
      <alignment/>
    </xf>
    <xf numFmtId="43" fontId="5" fillId="0" borderId="20" xfId="18" applyFont="1" applyBorder="1" applyAlignment="1">
      <alignment/>
    </xf>
    <xf numFmtId="43" fontId="5" fillId="0" borderId="19" xfId="18" applyFont="1" applyFill="1" applyBorder="1" applyAlignment="1">
      <alignment/>
    </xf>
    <xf numFmtId="0" fontId="11" fillId="0" borderId="18" xfId="0" applyFont="1" applyFill="1" applyBorder="1" applyAlignment="1">
      <alignment/>
    </xf>
    <xf numFmtId="43" fontId="6" fillId="3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43" fontId="11" fillId="0" borderId="10" xfId="0" applyNumberFormat="1" applyFont="1" applyFill="1" applyBorder="1" applyAlignment="1">
      <alignment/>
    </xf>
    <xf numFmtId="43" fontId="11" fillId="0" borderId="19" xfId="0" applyNumberFormat="1" applyFont="1" applyFill="1" applyBorder="1" applyAlignment="1">
      <alignment/>
    </xf>
    <xf numFmtId="10" fontId="11" fillId="0" borderId="10" xfId="0" applyNumberFormat="1" applyFont="1" applyBorder="1" applyAlignment="1">
      <alignment/>
    </xf>
    <xf numFmtId="43" fontId="11" fillId="3" borderId="10" xfId="0" applyNumberFormat="1" applyFont="1" applyFill="1" applyBorder="1" applyAlignment="1">
      <alignment/>
    </xf>
    <xf numFmtId="43" fontId="11" fillId="0" borderId="19" xfId="18" applyFont="1" applyBorder="1" applyAlignment="1">
      <alignment/>
    </xf>
    <xf numFmtId="43" fontId="11" fillId="0" borderId="1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2" borderId="22" xfId="0" applyFill="1" applyBorder="1" applyAlignment="1">
      <alignment/>
    </xf>
    <xf numFmtId="0" fontId="14" fillId="0" borderId="13" xfId="0" applyFont="1" applyBorder="1" applyAlignment="1">
      <alignment horizontal="center"/>
    </xf>
    <xf numFmtId="17" fontId="9" fillId="0" borderId="23" xfId="0" applyNumberFormat="1" applyFont="1" applyBorder="1" applyAlignment="1">
      <alignment horizontal="right"/>
    </xf>
    <xf numFmtId="17" fontId="9" fillId="0" borderId="18" xfId="0" applyNumberFormat="1" applyFont="1" applyBorder="1" applyAlignment="1">
      <alignment horizontal="right"/>
    </xf>
    <xf numFmtId="17" fontId="9" fillId="0" borderId="18" xfId="0" applyNumberFormat="1" applyFont="1" applyBorder="1" applyAlignment="1">
      <alignment horizontal="left"/>
    </xf>
    <xf numFmtId="17" fontId="9" fillId="0" borderId="21" xfId="0" applyNumberFormat="1" applyFont="1" applyBorder="1" applyAlignment="1">
      <alignment horizontal="right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16" fontId="6" fillId="0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3" fontId="1" fillId="0" borderId="19" xfId="18" applyFont="1" applyFill="1" applyBorder="1" applyAlignment="1">
      <alignment horizontal="center"/>
    </xf>
    <xf numFmtId="43" fontId="0" fillId="2" borderId="26" xfId="18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9" xfId="18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82" fontId="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16" fontId="6" fillId="0" borderId="29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5" fontId="1" fillId="0" borderId="3" xfId="0" applyNumberFormat="1" applyFont="1" applyFill="1" applyBorder="1" applyAlignment="1">
      <alignment/>
    </xf>
    <xf numFmtId="15" fontId="1" fillId="0" borderId="6" xfId="0" applyNumberFormat="1" applyFont="1" applyFill="1" applyBorder="1" applyAlignment="1">
      <alignment/>
    </xf>
    <xf numFmtId="15" fontId="1" fillId="0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3" fontId="5" fillId="0" borderId="30" xfId="18" applyFont="1" applyBorder="1" applyAlignment="1">
      <alignment/>
    </xf>
    <xf numFmtId="0" fontId="5" fillId="0" borderId="0" xfId="0" applyFont="1" applyAlignment="1">
      <alignment/>
    </xf>
    <xf numFmtId="17" fontId="6" fillId="0" borderId="27" xfId="0" applyNumberFormat="1" applyFont="1" applyBorder="1" applyAlignment="1">
      <alignment/>
    </xf>
    <xf numFmtId="43" fontId="5" fillId="0" borderId="29" xfId="18" applyFont="1" applyBorder="1" applyAlignment="1">
      <alignment/>
    </xf>
    <xf numFmtId="43" fontId="5" fillId="0" borderId="31" xfId="18" applyFont="1" applyBorder="1" applyAlignment="1">
      <alignment/>
    </xf>
    <xf numFmtId="43" fontId="5" fillId="0" borderId="32" xfId="18" applyFont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0" fillId="0" borderId="4" xfId="18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" fontId="5" fillId="0" borderId="23" xfId="0" applyNumberFormat="1" applyFont="1" applyBorder="1" applyAlignment="1">
      <alignment/>
    </xf>
    <xf numFmtId="43" fontId="5" fillId="0" borderId="11" xfId="18" applyFont="1" applyBorder="1" applyAlignment="1">
      <alignment/>
    </xf>
    <xf numFmtId="10" fontId="5" fillId="0" borderId="11" xfId="18" applyNumberFormat="1" applyFont="1" applyBorder="1" applyAlignment="1">
      <alignment/>
    </xf>
    <xf numFmtId="17" fontId="5" fillId="0" borderId="18" xfId="0" applyNumberFormat="1" applyFont="1" applyBorder="1" applyAlignment="1">
      <alignment/>
    </xf>
    <xf numFmtId="10" fontId="5" fillId="0" borderId="10" xfId="18" applyNumberFormat="1" applyFont="1" applyBorder="1" applyAlignment="1">
      <alignment/>
    </xf>
    <xf numFmtId="0" fontId="0" fillId="0" borderId="7" xfId="0" applyBorder="1" applyAlignment="1">
      <alignment/>
    </xf>
    <xf numFmtId="0" fontId="6" fillId="0" borderId="17" xfId="0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2" fontId="0" fillId="2" borderId="10" xfId="0" applyNumberFormat="1" applyFill="1" applyBorder="1" applyAlignment="1">
      <alignment/>
    </xf>
    <xf numFmtId="2" fontId="11" fillId="0" borderId="10" xfId="0" applyNumberFormat="1" applyFont="1" applyBorder="1" applyAlignment="1">
      <alignment/>
    </xf>
    <xf numFmtId="180" fontId="11" fillId="0" borderId="19" xfId="0" applyNumberFormat="1" applyFont="1" applyBorder="1" applyAlignment="1">
      <alignment/>
    </xf>
    <xf numFmtId="180" fontId="11" fillId="0" borderId="34" xfId="0" applyNumberFormat="1" applyFont="1" applyBorder="1" applyAlignment="1">
      <alignment/>
    </xf>
    <xf numFmtId="43" fontId="5" fillId="0" borderId="35" xfId="18" applyFont="1" applyBorder="1" applyAlignment="1">
      <alignment/>
    </xf>
    <xf numFmtId="43" fontId="5" fillId="0" borderId="36" xfId="18" applyFont="1" applyBorder="1" applyAlignment="1">
      <alignment/>
    </xf>
    <xf numFmtId="0" fontId="0" fillId="2" borderId="13" xfId="0" applyFill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/>
    </xf>
    <xf numFmtId="17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17" fontId="12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17" fontId="9" fillId="0" borderId="8" xfId="0" applyNumberFormat="1" applyFont="1" applyFill="1" applyBorder="1" applyAlignment="1">
      <alignment horizontal="left"/>
    </xf>
    <xf numFmtId="43" fontId="9" fillId="0" borderId="31" xfId="18" applyFont="1" applyBorder="1" applyAlignment="1">
      <alignment horizontal="center"/>
    </xf>
    <xf numFmtId="43" fontId="9" fillId="0" borderId="31" xfId="18" applyFont="1" applyFill="1" applyBorder="1" applyAlignment="1">
      <alignment horizontal="center"/>
    </xf>
    <xf numFmtId="17" fontId="9" fillId="2" borderId="15" xfId="0" applyNumberFormat="1" applyFont="1" applyFill="1" applyBorder="1" applyAlignment="1">
      <alignment horizontal="left"/>
    </xf>
    <xf numFmtId="17" fontId="9" fillId="2" borderId="2" xfId="0" applyNumberFormat="1" applyFont="1" applyFill="1" applyBorder="1" applyAlignment="1">
      <alignment horizontal="left"/>
    </xf>
    <xf numFmtId="43" fontId="15" fillId="2" borderId="2" xfId="18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0" fontId="0" fillId="0" borderId="10" xfId="17" applyNumberFormat="1" applyBorder="1" applyAlignment="1">
      <alignment/>
    </xf>
    <xf numFmtId="43" fontId="9" fillId="0" borderId="10" xfId="18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0" fontId="0" fillId="0" borderId="0" xfId="17" applyNumberFormat="1" applyAlignment="1">
      <alignment/>
    </xf>
    <xf numFmtId="10" fontId="0" fillId="0" borderId="0" xfId="0" applyNumberFormat="1" applyAlignment="1">
      <alignment/>
    </xf>
    <xf numFmtId="9" fontId="0" fillId="0" borderId="0" xfId="17" applyAlignment="1">
      <alignment/>
    </xf>
    <xf numFmtId="0" fontId="1" fillId="0" borderId="15" xfId="0" applyFont="1" applyBorder="1" applyAlignment="1">
      <alignment horizontal="center"/>
    </xf>
    <xf numFmtId="43" fontId="0" fillId="4" borderId="12" xfId="0" applyNumberFormat="1" applyFont="1" applyFill="1" applyBorder="1" applyAlignment="1">
      <alignment horizontal="center"/>
    </xf>
    <xf numFmtId="43" fontId="0" fillId="4" borderId="13" xfId="18" applyFont="1" applyFill="1" applyBorder="1" applyAlignment="1">
      <alignment/>
    </xf>
    <xf numFmtId="43" fontId="18" fillId="0" borderId="15" xfId="0" applyNumberFormat="1" applyFont="1" applyFill="1" applyBorder="1" applyAlignment="1">
      <alignment horizontal="center"/>
    </xf>
    <xf numFmtId="43" fontId="18" fillId="0" borderId="2" xfId="0" applyNumberFormat="1" applyFont="1" applyFill="1" applyBorder="1" applyAlignment="1">
      <alignment horizontal="center"/>
    </xf>
    <xf numFmtId="43" fontId="18" fillId="4" borderId="14" xfId="0" applyNumberFormat="1" applyFont="1" applyFill="1" applyBorder="1" applyAlignment="1">
      <alignment horizontal="center"/>
    </xf>
    <xf numFmtId="43" fontId="0" fillId="4" borderId="12" xfId="18" applyNumberFormat="1" applyFont="1" applyFill="1" applyBorder="1" applyAlignment="1">
      <alignment/>
    </xf>
    <xf numFmtId="17" fontId="5" fillId="0" borderId="37" xfId="0" applyNumberFormat="1" applyFont="1" applyBorder="1" applyAlignment="1">
      <alignment/>
    </xf>
    <xf numFmtId="10" fontId="5" fillId="0" borderId="31" xfId="18" applyNumberFormat="1" applyFont="1" applyBorder="1" applyAlignment="1">
      <alignment/>
    </xf>
    <xf numFmtId="0" fontId="1" fillId="0" borderId="15" xfId="0" applyFont="1" applyFill="1" applyBorder="1" applyAlignment="1">
      <alignment horizontal="left"/>
    </xf>
    <xf numFmtId="43" fontId="1" fillId="2" borderId="2" xfId="18" applyFont="1" applyFill="1" applyBorder="1" applyAlignment="1">
      <alignment/>
    </xf>
    <xf numFmtId="0" fontId="0" fillId="2" borderId="14" xfId="0" applyFill="1" applyBorder="1" applyAlignment="1">
      <alignment/>
    </xf>
    <xf numFmtId="0" fontId="4" fillId="0" borderId="1" xfId="0" applyFont="1" applyBorder="1" applyAlignment="1">
      <alignment/>
    </xf>
    <xf numFmtId="43" fontId="19" fillId="0" borderId="16" xfId="0" applyNumberFormat="1" applyFont="1" applyBorder="1" applyAlignment="1">
      <alignment/>
    </xf>
    <xf numFmtId="9" fontId="6" fillId="0" borderId="17" xfId="0" applyNumberFormat="1" applyFont="1" applyBorder="1" applyAlignment="1">
      <alignment horizontal="center"/>
    </xf>
    <xf numFmtId="193" fontId="11" fillId="0" borderId="14" xfId="0" applyNumberFormat="1" applyFont="1" applyBorder="1" applyAlignment="1">
      <alignment/>
    </xf>
    <xf numFmtId="180" fontId="5" fillId="0" borderId="38" xfId="18" applyNumberFormat="1" applyFont="1" applyBorder="1" applyAlignment="1">
      <alignment/>
    </xf>
    <xf numFmtId="180" fontId="5" fillId="0" borderId="30" xfId="18" applyNumberFormat="1" applyFont="1" applyBorder="1" applyAlignment="1">
      <alignment/>
    </xf>
    <xf numFmtId="180" fontId="5" fillId="0" borderId="39" xfId="18" applyNumberFormat="1" applyFont="1" applyBorder="1" applyAlignment="1">
      <alignment/>
    </xf>
    <xf numFmtId="43" fontId="5" fillId="0" borderId="23" xfId="18" applyFont="1" applyBorder="1" applyAlignment="1">
      <alignment/>
    </xf>
    <xf numFmtId="43" fontId="5" fillId="0" borderId="18" xfId="18" applyFont="1" applyBorder="1" applyAlignment="1">
      <alignment/>
    </xf>
    <xf numFmtId="43" fontId="5" fillId="0" borderId="21" xfId="18" applyFont="1" applyBorder="1" applyAlignment="1">
      <alignment/>
    </xf>
    <xf numFmtId="43" fontId="5" fillId="0" borderId="24" xfId="18" applyFont="1" applyBorder="1" applyAlignment="1">
      <alignment/>
    </xf>
    <xf numFmtId="43" fontId="5" fillId="0" borderId="26" xfId="18" applyFont="1" applyBorder="1" applyAlignment="1">
      <alignment/>
    </xf>
    <xf numFmtId="43" fontId="5" fillId="0" borderId="40" xfId="18" applyFont="1" applyBorder="1" applyAlignment="1">
      <alignment/>
    </xf>
    <xf numFmtId="43" fontId="8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0" fontId="1" fillId="0" borderId="41" xfId="18" applyNumberFormat="1" applyFont="1" applyBorder="1" applyAlignment="1">
      <alignment horizontal="right"/>
    </xf>
    <xf numFmtId="180" fontId="1" fillId="0" borderId="42" xfId="18" applyNumberFormat="1" applyFont="1" applyBorder="1" applyAlignment="1">
      <alignment horizontal="right"/>
    </xf>
    <xf numFmtId="180" fontId="1" fillId="0" borderId="43" xfId="18" applyNumberFormat="1" applyFont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3" fontId="0" fillId="0" borderId="0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center"/>
    </xf>
    <xf numFmtId="43" fontId="18" fillId="0" borderId="15" xfId="0" applyNumberFormat="1" applyFont="1" applyBorder="1" applyAlignment="1">
      <alignment horizontal="center"/>
    </xf>
    <xf numFmtId="43" fontId="18" fillId="0" borderId="16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3" fontId="9" fillId="4" borderId="10" xfId="18" applyFont="1" applyFill="1" applyBorder="1" applyAlignment="1">
      <alignment horizontal="center"/>
    </xf>
    <xf numFmtId="43" fontId="9" fillId="5" borderId="10" xfId="18" applyFont="1" applyFill="1" applyBorder="1" applyAlignment="1">
      <alignment horizontal="center"/>
    </xf>
    <xf numFmtId="43" fontId="9" fillId="6" borderId="10" xfId="18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3" fontId="18" fillId="0" borderId="44" xfId="0" applyNumberFormat="1" applyFont="1" applyBorder="1" applyAlignment="1">
      <alignment horizontal="center"/>
    </xf>
    <xf numFmtId="43" fontId="18" fillId="0" borderId="10" xfId="0" applyNumberFormat="1" applyFont="1" applyBorder="1" applyAlignment="1">
      <alignment horizontal="center"/>
    </xf>
    <xf numFmtId="43" fontId="18" fillId="0" borderId="14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9" fontId="20" fillId="0" borderId="13" xfId="0" applyNumberFormat="1" applyFont="1" applyFill="1" applyBorder="1" applyAlignment="1" quotePrefix="1">
      <alignment horizontal="center"/>
    </xf>
    <xf numFmtId="43" fontId="20" fillId="0" borderId="11" xfId="0" applyNumberFormat="1" applyFont="1" applyFill="1" applyBorder="1" applyAlignment="1" quotePrefix="1">
      <alignment horizontal="center"/>
    </xf>
    <xf numFmtId="43" fontId="20" fillId="0" borderId="29" xfId="18" applyFont="1" applyFill="1" applyBorder="1" applyAlignment="1" quotePrefix="1">
      <alignment horizontal="center"/>
    </xf>
    <xf numFmtId="43" fontId="20" fillId="0" borderId="10" xfId="0" applyNumberFormat="1" applyFont="1" applyFill="1" applyBorder="1" applyAlignment="1" quotePrefix="1">
      <alignment horizontal="center"/>
    </xf>
    <xf numFmtId="43" fontId="20" fillId="0" borderId="10" xfId="18" applyFont="1" applyFill="1" applyBorder="1" applyAlignment="1" quotePrefix="1">
      <alignment horizontal="center"/>
    </xf>
    <xf numFmtId="43" fontId="20" fillId="0" borderId="22" xfId="0" applyNumberFormat="1" applyFont="1" applyFill="1" applyBorder="1" applyAlignment="1" quotePrefix="1">
      <alignment horizontal="center"/>
    </xf>
    <xf numFmtId="43" fontId="20" fillId="0" borderId="31" xfId="18" applyFont="1" applyFill="1" applyBorder="1" applyAlignment="1" quotePrefix="1">
      <alignment horizontal="center"/>
    </xf>
    <xf numFmtId="43" fontId="20" fillId="0" borderId="14" xfId="0" applyNumberFormat="1" applyFont="1" applyFill="1" applyBorder="1" applyAlignment="1">
      <alignment horizontal="center"/>
    </xf>
    <xf numFmtId="43" fontId="20" fillId="0" borderId="14" xfId="18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3" fontId="21" fillId="0" borderId="11" xfId="0" applyNumberFormat="1" applyFont="1" applyBorder="1" applyAlignment="1">
      <alignment horizontal="center"/>
    </xf>
    <xf numFmtId="43" fontId="21" fillId="0" borderId="10" xfId="0" applyNumberFormat="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43" fontId="21" fillId="0" borderId="44" xfId="0" applyNumberFormat="1" applyFont="1" applyBorder="1" applyAlignment="1">
      <alignment horizontal="center"/>
    </xf>
    <xf numFmtId="43" fontId="21" fillId="0" borderId="29" xfId="0" applyNumberFormat="1" applyFont="1" applyBorder="1" applyAlignment="1">
      <alignment horizontal="center"/>
    </xf>
    <xf numFmtId="43" fontId="21" fillId="0" borderId="14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3" fontId="22" fillId="0" borderId="25" xfId="0" applyNumberFormat="1" applyFont="1" applyBorder="1" applyAlignment="1">
      <alignment horizontal="center"/>
    </xf>
    <xf numFmtId="43" fontId="22" fillId="0" borderId="19" xfId="0" applyNumberFormat="1" applyFont="1" applyBorder="1" applyAlignment="1">
      <alignment horizontal="center"/>
    </xf>
    <xf numFmtId="43" fontId="22" fillId="0" borderId="34" xfId="0" applyNumberFormat="1" applyFont="1" applyBorder="1" applyAlignment="1">
      <alignment horizontal="center"/>
    </xf>
    <xf numFmtId="43" fontId="22" fillId="0" borderId="9" xfId="0" applyNumberFormat="1" applyFont="1" applyBorder="1" applyAlignment="1">
      <alignment horizontal="center"/>
    </xf>
    <xf numFmtId="0" fontId="9" fillId="0" borderId="6" xfId="0" applyFont="1" applyFill="1" applyBorder="1" applyAlignment="1">
      <alignment/>
    </xf>
    <xf numFmtId="43" fontId="9" fillId="0" borderId="7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7" fontId="1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 horizontal="left"/>
    </xf>
    <xf numFmtId="17" fontId="9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17" fontId="9" fillId="0" borderId="1" xfId="0" applyNumberFormat="1" applyFont="1" applyBorder="1" applyAlignment="1">
      <alignment/>
    </xf>
    <xf numFmtId="17" fontId="8" fillId="0" borderId="1" xfId="0" applyNumberFormat="1" applyFont="1" applyBorder="1" applyAlignment="1">
      <alignment/>
    </xf>
    <xf numFmtId="17" fontId="8" fillId="0" borderId="1" xfId="0" applyNumberFormat="1" applyFont="1" applyFill="1" applyBorder="1" applyAlignment="1">
      <alignment/>
    </xf>
    <xf numFmtId="17" fontId="1" fillId="0" borderId="1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43" fontId="24" fillId="0" borderId="11" xfId="18" applyFont="1" applyBorder="1" applyAlignment="1">
      <alignment/>
    </xf>
    <xf numFmtId="43" fontId="24" fillId="0" borderId="10" xfId="18" applyFont="1" applyBorder="1" applyAlignment="1">
      <alignment/>
    </xf>
    <xf numFmtId="43" fontId="22" fillId="0" borderId="14" xfId="0" applyNumberFormat="1" applyFont="1" applyBorder="1" applyAlignment="1">
      <alignment/>
    </xf>
    <xf numFmtId="0" fontId="25" fillId="0" borderId="17" xfId="0" applyFont="1" applyBorder="1" applyAlignment="1">
      <alignment horizontal="center"/>
    </xf>
    <xf numFmtId="43" fontId="26" fillId="0" borderId="11" xfId="18" applyFont="1" applyBorder="1" applyAlignment="1">
      <alignment/>
    </xf>
    <xf numFmtId="43" fontId="26" fillId="0" borderId="10" xfId="18" applyFont="1" applyBorder="1" applyAlignment="1">
      <alignment/>
    </xf>
    <xf numFmtId="43" fontId="26" fillId="0" borderId="31" xfId="18" applyFont="1" applyBorder="1" applyAlignment="1">
      <alignment/>
    </xf>
    <xf numFmtId="43" fontId="18" fillId="0" borderId="14" xfId="0" applyNumberFormat="1" applyFont="1" applyBorder="1" applyAlignment="1">
      <alignment/>
    </xf>
    <xf numFmtId="0" fontId="28" fillId="7" borderId="12" xfId="0" applyFont="1" applyFill="1" applyBorder="1" applyAlignment="1">
      <alignment horizontal="center"/>
    </xf>
    <xf numFmtId="0" fontId="27" fillId="7" borderId="24" xfId="0" applyFont="1" applyFill="1" applyBorder="1" applyAlignment="1">
      <alignment/>
    </xf>
    <xf numFmtId="0" fontId="27" fillId="7" borderId="26" xfId="0" applyFont="1" applyFill="1" applyBorder="1" applyAlignment="1">
      <alignment/>
    </xf>
    <xf numFmtId="0" fontId="27" fillId="7" borderId="40" xfId="0" applyFont="1" applyFill="1" applyBorder="1" applyAlignment="1">
      <alignment/>
    </xf>
    <xf numFmtId="0" fontId="28" fillId="7" borderId="1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27" fillId="7" borderId="0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29" fillId="0" borderId="15" xfId="0" applyFont="1" applyBorder="1" applyAlignment="1">
      <alignment/>
    </xf>
    <xf numFmtId="0" fontId="30" fillId="0" borderId="2" xfId="0" applyFont="1" applyBorder="1" applyAlignment="1">
      <alignment/>
    </xf>
    <xf numFmtId="43" fontId="30" fillId="0" borderId="2" xfId="18" applyFont="1" applyBorder="1" applyAlignment="1">
      <alignment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43" fontId="30" fillId="0" borderId="0" xfId="0" applyNumberFormat="1" applyFont="1" applyBorder="1" applyAlignment="1">
      <alignment/>
    </xf>
    <xf numFmtId="43" fontId="31" fillId="0" borderId="0" xfId="18" applyFont="1" applyBorder="1" applyAlignment="1">
      <alignment/>
    </xf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6" xfId="0" applyFont="1" applyBorder="1" applyAlignment="1">
      <alignment/>
    </xf>
    <xf numFmtId="0" fontId="30" fillId="0" borderId="0" xfId="0" applyFont="1" applyBorder="1" applyAlignment="1">
      <alignment/>
    </xf>
    <xf numFmtId="43" fontId="22" fillId="0" borderId="7" xfId="18" applyFont="1" applyFill="1" applyBorder="1" applyAlignment="1">
      <alignment/>
    </xf>
    <xf numFmtId="43" fontId="32" fillId="0" borderId="9" xfId="0" applyNumberFormat="1" applyFont="1" applyBorder="1" applyAlignment="1">
      <alignment/>
    </xf>
    <xf numFmtId="43" fontId="33" fillId="0" borderId="7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7" xfId="0" applyFont="1" applyFill="1" applyBorder="1" applyAlignment="1">
      <alignment/>
    </xf>
    <xf numFmtId="43" fontId="17" fillId="0" borderId="7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80" fontId="35" fillId="0" borderId="10" xfId="18" applyNumberFormat="1" applyFont="1" applyBorder="1" applyAlignment="1">
      <alignment/>
    </xf>
    <xf numFmtId="0" fontId="36" fillId="0" borderId="35" xfId="0" applyFont="1" applyBorder="1" applyAlignment="1">
      <alignment horizontal="center"/>
    </xf>
    <xf numFmtId="16" fontId="36" fillId="0" borderId="30" xfId="0" applyNumberFormat="1" applyFont="1" applyBorder="1" applyAlignment="1">
      <alignment horizontal="center"/>
    </xf>
    <xf numFmtId="43" fontId="37" fillId="0" borderId="30" xfId="18" applyFont="1" applyBorder="1" applyAlignment="1">
      <alignment/>
    </xf>
    <xf numFmtId="43" fontId="38" fillId="0" borderId="30" xfId="0" applyNumberFormat="1" applyFont="1" applyFill="1" applyBorder="1" applyAlignment="1">
      <alignment/>
    </xf>
    <xf numFmtId="17" fontId="39" fillId="8" borderId="27" xfId="0" applyNumberFormat="1" applyFont="1" applyFill="1" applyBorder="1" applyAlignment="1">
      <alignment/>
    </xf>
    <xf numFmtId="17" fontId="39" fillId="8" borderId="45" xfId="0" applyNumberFormat="1" applyFont="1" applyFill="1" applyBorder="1" applyAlignment="1">
      <alignment/>
    </xf>
    <xf numFmtId="17" fontId="6" fillId="4" borderId="18" xfId="0" applyNumberFormat="1" applyFont="1" applyFill="1" applyBorder="1" applyAlignment="1">
      <alignment/>
    </xf>
    <xf numFmtId="43" fontId="6" fillId="4" borderId="18" xfId="0" applyNumberFormat="1" applyFont="1" applyFill="1" applyBorder="1" applyAlignment="1">
      <alignment horizontal="left"/>
    </xf>
    <xf numFmtId="0" fontId="40" fillId="0" borderId="29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96" fontId="43" fillId="0" borderId="10" xfId="0" applyNumberFormat="1" applyFont="1" applyBorder="1" applyAlignment="1">
      <alignment horizontal="right"/>
    </xf>
    <xf numFmtId="196" fontId="43" fillId="0" borderId="29" xfId="0" applyNumberFormat="1" applyFont="1" applyBorder="1" applyAlignment="1">
      <alignment horizontal="right"/>
    </xf>
    <xf numFmtId="16" fontId="40" fillId="0" borderId="10" xfId="0" applyNumberFormat="1" applyFont="1" applyFill="1" applyBorder="1" applyAlignment="1">
      <alignment horizontal="center"/>
    </xf>
    <xf numFmtId="43" fontId="41" fillId="0" borderId="10" xfId="18" applyFont="1" applyFill="1" applyBorder="1" applyAlignment="1">
      <alignment/>
    </xf>
    <xf numFmtId="43" fontId="44" fillId="0" borderId="1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33</xdr:row>
      <xdr:rowOff>19050</xdr:rowOff>
    </xdr:from>
    <xdr:to>
      <xdr:col>7</xdr:col>
      <xdr:colOff>476250</xdr:colOff>
      <xdr:row>33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362450" y="49053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228600</xdr:colOff>
      <xdr:row>0</xdr:row>
      <xdr:rowOff>9525</xdr:rowOff>
    </xdr:from>
    <xdr:ext cx="1295400" cy="409575"/>
    <xdr:sp>
      <xdr:nvSpPr>
        <xdr:cNvPr id="2" name="AutoShape 4"/>
        <xdr:cNvSpPr>
          <a:spLocks/>
        </xdr:cNvSpPr>
      </xdr:nvSpPr>
      <xdr:spPr>
        <a:xfrm>
          <a:off x="2667000" y="9525"/>
          <a:ext cx="1295400" cy="409575"/>
        </a:xfrm>
        <a:prstGeom prst="wedgeRoundRectCallout">
          <a:avLst>
            <a:gd name="adj1" fmla="val -141175"/>
            <a:gd name="adj2" fmla="val 3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"K"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10</xdr:col>
      <xdr:colOff>400050</xdr:colOff>
      <xdr:row>0</xdr:row>
      <xdr:rowOff>0</xdr:rowOff>
    </xdr:from>
    <xdr:ext cx="1295400" cy="409575"/>
    <xdr:sp>
      <xdr:nvSpPr>
        <xdr:cNvPr id="3" name="AutoShape 5"/>
        <xdr:cNvSpPr>
          <a:spLocks/>
        </xdr:cNvSpPr>
      </xdr:nvSpPr>
      <xdr:spPr>
        <a:xfrm>
          <a:off x="6886575" y="0"/>
          <a:ext cx="1295400" cy="409575"/>
        </a:xfrm>
        <a:prstGeom prst="wedgeRoundRectCallout">
          <a:avLst>
            <a:gd name="adj1" fmla="val -280148"/>
            <a:gd name="adj2" fmla="val 289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"K"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3</xdr:col>
      <xdr:colOff>38100</xdr:colOff>
      <xdr:row>35</xdr:row>
      <xdr:rowOff>152400</xdr:rowOff>
    </xdr:from>
    <xdr:ext cx="1295400" cy="409575"/>
    <xdr:sp>
      <xdr:nvSpPr>
        <xdr:cNvPr id="4" name="AutoShape 6"/>
        <xdr:cNvSpPr>
          <a:spLocks/>
        </xdr:cNvSpPr>
      </xdr:nvSpPr>
      <xdr:spPr>
        <a:xfrm>
          <a:off x="1866900" y="5372100"/>
          <a:ext cx="1295400" cy="409575"/>
        </a:xfrm>
        <a:prstGeom prst="wedgeRoundRectCallout">
          <a:avLst>
            <a:gd name="adj1" fmla="val -34560"/>
            <a:gd name="adj2" fmla="val -240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Percentual Conforme
Tabela do INSS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486275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562600" y="0"/>
          <a:ext cx="0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5562600" y="0"/>
          <a:ext cx="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37052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36957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19050</xdr:rowOff>
    </xdr:from>
    <xdr:to>
      <xdr:col>1</xdr:col>
      <xdr:colOff>485775</xdr:colOff>
      <xdr:row>37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1152525" y="60579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19050</xdr:rowOff>
    </xdr:from>
    <xdr:to>
      <xdr:col>1</xdr:col>
      <xdr:colOff>485775</xdr:colOff>
      <xdr:row>38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1152525" y="621982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19050</xdr:rowOff>
    </xdr:from>
    <xdr:to>
      <xdr:col>4</xdr:col>
      <xdr:colOff>485775</xdr:colOff>
      <xdr:row>37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3524250" y="60579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19050</xdr:rowOff>
    </xdr:from>
    <xdr:to>
      <xdr:col>4</xdr:col>
      <xdr:colOff>485775</xdr:colOff>
      <xdr:row>38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3524250" y="621982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19050</xdr:rowOff>
    </xdr:from>
    <xdr:to>
      <xdr:col>4</xdr:col>
      <xdr:colOff>485775</xdr:colOff>
      <xdr:row>35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3524250" y="57340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19050</xdr:rowOff>
    </xdr:from>
    <xdr:to>
      <xdr:col>4</xdr:col>
      <xdr:colOff>485775</xdr:colOff>
      <xdr:row>36</xdr:row>
      <xdr:rowOff>152400</xdr:rowOff>
    </xdr:to>
    <xdr:sp>
      <xdr:nvSpPr>
        <xdr:cNvPr id="13" name="AutoShape 15"/>
        <xdr:cNvSpPr>
          <a:spLocks/>
        </xdr:cNvSpPr>
      </xdr:nvSpPr>
      <xdr:spPr>
        <a:xfrm>
          <a:off x="3524250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19050</xdr:rowOff>
    </xdr:from>
    <xdr:to>
      <xdr:col>1</xdr:col>
      <xdr:colOff>485775</xdr:colOff>
      <xdr:row>36</xdr:row>
      <xdr:rowOff>152400</xdr:rowOff>
    </xdr:to>
    <xdr:sp>
      <xdr:nvSpPr>
        <xdr:cNvPr id="14" name="AutoShape 16"/>
        <xdr:cNvSpPr>
          <a:spLocks/>
        </xdr:cNvSpPr>
      </xdr:nvSpPr>
      <xdr:spPr>
        <a:xfrm>
          <a:off x="115252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485775</xdr:colOff>
      <xdr:row>36</xdr:row>
      <xdr:rowOff>152400</xdr:rowOff>
    </xdr:to>
    <xdr:sp>
      <xdr:nvSpPr>
        <xdr:cNvPr id="15" name="AutoShape 17"/>
        <xdr:cNvSpPr>
          <a:spLocks/>
        </xdr:cNvSpPr>
      </xdr:nvSpPr>
      <xdr:spPr>
        <a:xfrm>
          <a:off x="189547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19050</xdr:rowOff>
    </xdr:from>
    <xdr:to>
      <xdr:col>3</xdr:col>
      <xdr:colOff>485775</xdr:colOff>
      <xdr:row>36</xdr:row>
      <xdr:rowOff>152400</xdr:rowOff>
    </xdr:to>
    <xdr:sp>
      <xdr:nvSpPr>
        <xdr:cNvPr id="16" name="AutoShape 18"/>
        <xdr:cNvSpPr>
          <a:spLocks/>
        </xdr:cNvSpPr>
      </xdr:nvSpPr>
      <xdr:spPr>
        <a:xfrm>
          <a:off x="269557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19050</xdr:rowOff>
    </xdr:from>
    <xdr:to>
      <xdr:col>2</xdr:col>
      <xdr:colOff>485775</xdr:colOff>
      <xdr:row>34</xdr:row>
      <xdr:rowOff>152400</xdr:rowOff>
    </xdr:to>
    <xdr:sp>
      <xdr:nvSpPr>
        <xdr:cNvPr id="17" name="AutoShape 19"/>
        <xdr:cNvSpPr>
          <a:spLocks/>
        </xdr:cNvSpPr>
      </xdr:nvSpPr>
      <xdr:spPr>
        <a:xfrm>
          <a:off x="1895475" y="557212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0</xdr:row>
      <xdr:rowOff>38100</xdr:rowOff>
    </xdr:from>
    <xdr:ext cx="1276350" cy="523875"/>
    <xdr:sp>
      <xdr:nvSpPr>
        <xdr:cNvPr id="18" name="AutoShape 20"/>
        <xdr:cNvSpPr>
          <a:spLocks/>
        </xdr:cNvSpPr>
      </xdr:nvSpPr>
      <xdr:spPr>
        <a:xfrm>
          <a:off x="3629025" y="38100"/>
          <a:ext cx="1276350" cy="523875"/>
        </a:xfrm>
        <a:prstGeom prst="wedgeRoundRectCallout">
          <a:avLst>
            <a:gd name="adj1" fmla="val -143282"/>
            <a:gd name="adj2" fmla="val 20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Tabela de CM
www.tst.gov.br</a:t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276350" cy="523875"/>
    <xdr:sp>
      <xdr:nvSpPr>
        <xdr:cNvPr id="19" name="AutoShape 21"/>
        <xdr:cNvSpPr>
          <a:spLocks/>
        </xdr:cNvSpPr>
      </xdr:nvSpPr>
      <xdr:spPr>
        <a:xfrm>
          <a:off x="1828800" y="0"/>
          <a:ext cx="1276350" cy="523875"/>
        </a:xfrm>
        <a:prstGeom prst="wedgeRoundRectCallout">
          <a:avLst>
            <a:gd name="adj1" fmla="val -69402"/>
            <a:gd name="adj2" fmla="val 2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"M"
 " Subtotal 2 "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 Planilha Inicial
</a:t>
          </a:r>
        </a:p>
      </xdr:txBody>
    </xdr:sp>
    <xdr:clientData/>
  </xdr:oneCellAnchor>
  <xdr:twoCellAnchor>
    <xdr:from>
      <xdr:col>0</xdr:col>
      <xdr:colOff>942975</xdr:colOff>
      <xdr:row>29</xdr:row>
      <xdr:rowOff>66675</xdr:rowOff>
    </xdr:from>
    <xdr:to>
      <xdr:col>1</xdr:col>
      <xdr:colOff>76200</xdr:colOff>
      <xdr:row>33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942975" y="4810125"/>
          <a:ext cx="190500" cy="657225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781050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47625</xdr:rowOff>
    </xdr:from>
    <xdr:to>
      <xdr:col>5</xdr:col>
      <xdr:colOff>666750</xdr:colOff>
      <xdr:row>13</xdr:row>
      <xdr:rowOff>228600</xdr:rowOff>
    </xdr:to>
    <xdr:sp>
      <xdr:nvSpPr>
        <xdr:cNvPr id="2" name="AutoShape 9"/>
        <xdr:cNvSpPr>
          <a:spLocks/>
        </xdr:cNvSpPr>
      </xdr:nvSpPr>
      <xdr:spPr>
        <a:xfrm>
          <a:off x="4324350" y="1066800"/>
          <a:ext cx="400050" cy="13716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20</xdr:row>
      <xdr:rowOff>95250</xdr:rowOff>
    </xdr:from>
    <xdr:to>
      <xdr:col>6</xdr:col>
      <xdr:colOff>161925</xdr:colOff>
      <xdr:row>25</xdr:row>
      <xdr:rowOff>114300</xdr:rowOff>
    </xdr:to>
    <xdr:sp>
      <xdr:nvSpPr>
        <xdr:cNvPr id="3" name="AutoShape 10"/>
        <xdr:cNvSpPr>
          <a:spLocks/>
        </xdr:cNvSpPr>
      </xdr:nvSpPr>
      <xdr:spPr>
        <a:xfrm>
          <a:off x="5057775" y="3381375"/>
          <a:ext cx="133350" cy="847725"/>
        </a:xfrm>
        <a:prstGeom prst="curvedLeftArrow">
          <a:avLst>
            <a:gd name="adj1" fmla="val 24814"/>
            <a:gd name="adj2" fmla="val 45097"/>
            <a:gd name="adj3" fmla="val -17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133350</xdr:colOff>
      <xdr:row>36</xdr:row>
      <xdr:rowOff>0</xdr:rowOff>
    </xdr:from>
    <xdr:to>
      <xdr:col>4</xdr:col>
      <xdr:colOff>523875</xdr:colOff>
      <xdr:row>36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571875" y="6086475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0</xdr:rowOff>
    </xdr:from>
    <xdr:to>
      <xdr:col>4</xdr:col>
      <xdr:colOff>523875</xdr:colOff>
      <xdr:row>36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571875" y="6086475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152400</xdr:colOff>
      <xdr:row>1</xdr:row>
      <xdr:rowOff>76200</xdr:rowOff>
    </xdr:from>
    <xdr:ext cx="1295400" cy="409575"/>
    <xdr:sp>
      <xdr:nvSpPr>
        <xdr:cNvPr id="6" name="AutoShape 14"/>
        <xdr:cNvSpPr>
          <a:spLocks/>
        </xdr:cNvSpPr>
      </xdr:nvSpPr>
      <xdr:spPr>
        <a:xfrm>
          <a:off x="4210050" y="304800"/>
          <a:ext cx="1295400" cy="409575"/>
        </a:xfrm>
        <a:prstGeom prst="wedgeRoundRectCallout">
          <a:avLst>
            <a:gd name="adj1" fmla="val -66912"/>
            <a:gd name="adj2" fmla="val 2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"C"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5</xdr:col>
      <xdr:colOff>600075</xdr:colOff>
      <xdr:row>4</xdr:row>
      <xdr:rowOff>76200</xdr:rowOff>
    </xdr:from>
    <xdr:ext cx="962025" cy="504825"/>
    <xdr:sp>
      <xdr:nvSpPr>
        <xdr:cNvPr id="7" name="AutoShape 15"/>
        <xdr:cNvSpPr>
          <a:spLocks/>
        </xdr:cNvSpPr>
      </xdr:nvSpPr>
      <xdr:spPr>
        <a:xfrm>
          <a:off x="4657725" y="847725"/>
          <a:ext cx="962025" cy="504825"/>
        </a:xfrm>
        <a:prstGeom prst="wedgeRoundRectCallout">
          <a:avLst>
            <a:gd name="adj1" fmla="val -119305"/>
            <a:gd name="adj2" fmla="val 116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"D"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3</xdr:col>
      <xdr:colOff>180975</xdr:colOff>
      <xdr:row>0</xdr:row>
      <xdr:rowOff>28575</xdr:rowOff>
    </xdr:from>
    <xdr:ext cx="1171575" cy="609600"/>
    <xdr:sp>
      <xdr:nvSpPr>
        <xdr:cNvPr id="8" name="AutoShape 16"/>
        <xdr:cNvSpPr>
          <a:spLocks/>
        </xdr:cNvSpPr>
      </xdr:nvSpPr>
      <xdr:spPr>
        <a:xfrm>
          <a:off x="2933700" y="28575"/>
          <a:ext cx="1171575" cy="609600"/>
        </a:xfrm>
        <a:prstGeom prst="wedgeRoundRectCallout">
          <a:avLst>
            <a:gd name="adj1" fmla="val -143495"/>
            <a:gd name="adj2" fmla="val 242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Média das horas extras dos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últimos meses 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"F"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6</xdr:col>
      <xdr:colOff>95250</xdr:colOff>
      <xdr:row>9</xdr:row>
      <xdr:rowOff>66675</xdr:rowOff>
    </xdr:from>
    <xdr:ext cx="419100" cy="1905000"/>
    <xdr:sp>
      <xdr:nvSpPr>
        <xdr:cNvPr id="9" name="AutoShape 17"/>
        <xdr:cNvSpPr>
          <a:spLocks/>
        </xdr:cNvSpPr>
      </xdr:nvSpPr>
      <xdr:spPr>
        <a:xfrm>
          <a:off x="5124450" y="1619250"/>
          <a:ext cx="419100" cy="1905000"/>
        </a:xfrm>
        <a:prstGeom prst="wedgeRoundRectCallout">
          <a:avLst>
            <a:gd name="adj1" fmla="val -315907"/>
            <a:gd name="adj2" fmla="val -32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Média das horas extras dos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últimos meses 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"H"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6</xdr:col>
      <xdr:colOff>28575</xdr:colOff>
      <xdr:row>26</xdr:row>
      <xdr:rowOff>19050</xdr:rowOff>
    </xdr:from>
    <xdr:ext cx="561975" cy="695325"/>
    <xdr:sp>
      <xdr:nvSpPr>
        <xdr:cNvPr id="10" name="AutoShape 18"/>
        <xdr:cNvSpPr>
          <a:spLocks/>
        </xdr:cNvSpPr>
      </xdr:nvSpPr>
      <xdr:spPr>
        <a:xfrm>
          <a:off x="5057775" y="4305300"/>
          <a:ext cx="561975" cy="695325"/>
        </a:xfrm>
        <a:prstGeom prst="wedgeRectCallout">
          <a:avLst>
            <a:gd name="adj1" fmla="val -60171"/>
            <a:gd name="adj2" fmla="val 108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"P"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
planilha Inicial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76750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67350" y="0"/>
          <a:ext cx="561975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67350" y="0"/>
          <a:ext cx="53340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4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04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719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6237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590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590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590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590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9812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83845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9812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476750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467350" y="0"/>
          <a:ext cx="561975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467350" y="0"/>
          <a:ext cx="53340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4</xdr:col>
      <xdr:colOff>476250</xdr:colOff>
      <xdr:row>32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81400" y="523875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32</xdr:row>
      <xdr:rowOff>0</xdr:rowOff>
    </xdr:from>
    <xdr:to>
      <xdr:col>1</xdr:col>
      <xdr:colOff>485775</xdr:colOff>
      <xdr:row>32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28725" y="523875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33</xdr:row>
      <xdr:rowOff>9525</xdr:rowOff>
    </xdr:from>
    <xdr:to>
      <xdr:col>4</xdr:col>
      <xdr:colOff>600075</xdr:colOff>
      <xdr:row>33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3705225" y="541972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19050</xdr:rowOff>
    </xdr:from>
    <xdr:to>
      <xdr:col>1</xdr:col>
      <xdr:colOff>485775</xdr:colOff>
      <xdr:row>33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228725" y="54292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</xdr:row>
      <xdr:rowOff>19050</xdr:rowOff>
    </xdr:from>
    <xdr:to>
      <xdr:col>4</xdr:col>
      <xdr:colOff>600075</xdr:colOff>
      <xdr:row>32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05225" y="52578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609600</xdr:colOff>
      <xdr:row>32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714750" y="523875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457200</xdr:colOff>
      <xdr:row>0</xdr:row>
      <xdr:rowOff>0</xdr:rowOff>
    </xdr:from>
    <xdr:ext cx="1276350" cy="523875"/>
    <xdr:sp>
      <xdr:nvSpPr>
        <xdr:cNvPr id="27" name="AutoShape 27"/>
        <xdr:cNvSpPr>
          <a:spLocks/>
        </xdr:cNvSpPr>
      </xdr:nvSpPr>
      <xdr:spPr>
        <a:xfrm>
          <a:off x="3200400" y="0"/>
          <a:ext cx="1276350" cy="523875"/>
        </a:xfrm>
        <a:prstGeom prst="wedgeRoundRectCallout">
          <a:avLst>
            <a:gd name="adj1" fmla="val -94027"/>
            <a:gd name="adj2" fmla="val 23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Tabela do CM
www.tst.gov.br</a:t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276350" cy="523875"/>
    <xdr:sp>
      <xdr:nvSpPr>
        <xdr:cNvPr id="28" name="AutoShape 28"/>
        <xdr:cNvSpPr>
          <a:spLocks/>
        </xdr:cNvSpPr>
      </xdr:nvSpPr>
      <xdr:spPr>
        <a:xfrm>
          <a:off x="1819275" y="0"/>
          <a:ext cx="1276350" cy="523875"/>
        </a:xfrm>
        <a:prstGeom prst="wedgeRoundRectCallout">
          <a:avLst>
            <a:gd name="adj1" fmla="val -59703"/>
            <a:gd name="adj2" fmla="val 2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"N" + "O" FGTS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Planilha Inicial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1" sqref="C1"/>
    </sheetView>
  </sheetViews>
  <sheetFormatPr defaultColWidth="9.140625" defaultRowHeight="12.75"/>
  <sheetData>
    <row r="1" ht="12.75">
      <c r="A1" t="s">
        <v>145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7" spans="1:12" ht="12.75">
      <c r="A7" t="s">
        <v>150</v>
      </c>
      <c r="B7" t="s">
        <v>151</v>
      </c>
      <c r="C7" t="s">
        <v>152</v>
      </c>
      <c r="D7" t="s">
        <v>153</v>
      </c>
      <c r="E7" t="s">
        <v>154</v>
      </c>
      <c r="F7" t="s">
        <v>155</v>
      </c>
      <c r="G7" t="s">
        <v>156</v>
      </c>
      <c r="H7" t="s">
        <v>157</v>
      </c>
      <c r="I7" t="s">
        <v>158</v>
      </c>
      <c r="J7" t="s">
        <v>159</v>
      </c>
      <c r="K7" t="s">
        <v>160</v>
      </c>
      <c r="L7" t="s">
        <v>161</v>
      </c>
    </row>
    <row r="8" spans="1:12" ht="12.75">
      <c r="A8" t="s">
        <v>162</v>
      </c>
      <c r="B8" t="s">
        <v>163</v>
      </c>
      <c r="C8" t="s">
        <v>164</v>
      </c>
      <c r="D8" t="s">
        <v>165</v>
      </c>
      <c r="E8" t="s">
        <v>166</v>
      </c>
      <c r="F8" t="s">
        <v>167</v>
      </c>
      <c r="G8" t="s">
        <v>168</v>
      </c>
      <c r="H8" t="s">
        <v>169</v>
      </c>
      <c r="I8" t="s">
        <v>170</v>
      </c>
      <c r="J8" t="s">
        <v>171</v>
      </c>
      <c r="K8" t="s">
        <v>172</v>
      </c>
      <c r="L8" t="s">
        <v>173</v>
      </c>
    </row>
    <row r="9" spans="1:12" ht="12.75">
      <c r="A9" t="s">
        <v>174</v>
      </c>
      <c r="B9" t="s">
        <v>175</v>
      </c>
      <c r="C9" t="s">
        <v>176</v>
      </c>
      <c r="D9" t="s">
        <v>177</v>
      </c>
      <c r="E9" t="s">
        <v>178</v>
      </c>
      <c r="F9" t="s">
        <v>179</v>
      </c>
      <c r="G9" t="s">
        <v>180</v>
      </c>
      <c r="H9" t="s">
        <v>181</v>
      </c>
      <c r="I9" t="s">
        <v>182</v>
      </c>
      <c r="J9" t="s">
        <v>183</v>
      </c>
      <c r="K9" t="s">
        <v>184</v>
      </c>
      <c r="L9" t="s">
        <v>185</v>
      </c>
    </row>
    <row r="10" spans="1:12" ht="12.75">
      <c r="A10" t="s">
        <v>186</v>
      </c>
      <c r="B10" t="s">
        <v>187</v>
      </c>
      <c r="C10" t="s">
        <v>188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t="s">
        <v>195</v>
      </c>
      <c r="K10" t="s">
        <v>196</v>
      </c>
      <c r="L10" t="s">
        <v>197</v>
      </c>
    </row>
    <row r="11" spans="1:12" ht="12.75">
      <c r="A11" t="s">
        <v>198</v>
      </c>
      <c r="B11" t="s">
        <v>199</v>
      </c>
      <c r="C11" t="s">
        <v>200</v>
      </c>
      <c r="D11" t="s">
        <v>201</v>
      </c>
      <c r="E11" t="s">
        <v>202</v>
      </c>
      <c r="F11" t="s">
        <v>203</v>
      </c>
      <c r="G11" t="s">
        <v>204</v>
      </c>
      <c r="H11" t="s">
        <v>205</v>
      </c>
      <c r="I11" t="s">
        <v>206</v>
      </c>
      <c r="J11" t="s">
        <v>207</v>
      </c>
      <c r="K11" t="s">
        <v>208</v>
      </c>
      <c r="L11" t="s">
        <v>209</v>
      </c>
    </row>
    <row r="12" spans="1:12" ht="12.75">
      <c r="A12" t="s">
        <v>210</v>
      </c>
      <c r="B12" t="s">
        <v>211</v>
      </c>
      <c r="C12" t="s">
        <v>212</v>
      </c>
      <c r="D12" t="s">
        <v>213</v>
      </c>
      <c r="E12" t="s">
        <v>214</v>
      </c>
      <c r="F12" t="s">
        <v>215</v>
      </c>
      <c r="G12" t="s">
        <v>216</v>
      </c>
      <c r="H12" t="s">
        <v>217</v>
      </c>
      <c r="I12" t="s">
        <v>218</v>
      </c>
      <c r="J12" t="s">
        <v>219</v>
      </c>
      <c r="K12" t="s">
        <v>220</v>
      </c>
      <c r="L12" t="s">
        <v>221</v>
      </c>
    </row>
    <row r="13" spans="1:12" ht="12.75">
      <c r="A13" t="s">
        <v>222</v>
      </c>
      <c r="B13" t="s">
        <v>223</v>
      </c>
      <c r="C13" t="s">
        <v>224</v>
      </c>
      <c r="D13" t="s">
        <v>225</v>
      </c>
      <c r="E13" t="s">
        <v>226</v>
      </c>
      <c r="F13" t="s">
        <v>227</v>
      </c>
      <c r="G13" t="s">
        <v>228</v>
      </c>
      <c r="H13" t="s">
        <v>229</v>
      </c>
      <c r="I13" t="s">
        <v>230</v>
      </c>
      <c r="J13" t="s">
        <v>231</v>
      </c>
      <c r="K13" t="s">
        <v>232</v>
      </c>
      <c r="L13" t="s">
        <v>233</v>
      </c>
    </row>
    <row r="14" spans="1:12" ht="12.75">
      <c r="A14" t="s">
        <v>234</v>
      </c>
      <c r="B14" t="s">
        <v>235</v>
      </c>
      <c r="C14" t="s">
        <v>236</v>
      </c>
      <c r="D14" t="s">
        <v>237</v>
      </c>
      <c r="E14" t="s">
        <v>238</v>
      </c>
      <c r="F14" t="s">
        <v>239</v>
      </c>
      <c r="G14" t="s">
        <v>240</v>
      </c>
      <c r="H14" t="s">
        <v>241</v>
      </c>
      <c r="I14" t="s">
        <v>242</v>
      </c>
      <c r="J14" t="s">
        <v>243</v>
      </c>
      <c r="K14" t="s">
        <v>244</v>
      </c>
      <c r="L14" t="s">
        <v>245</v>
      </c>
    </row>
    <row r="15" spans="1:12" ht="12.75">
      <c r="A15" t="s">
        <v>246</v>
      </c>
      <c r="B15" t="s">
        <v>247</v>
      </c>
      <c r="C15" t="s">
        <v>248</v>
      </c>
      <c r="D15" t="s">
        <v>249</v>
      </c>
      <c r="E15" t="s">
        <v>250</v>
      </c>
      <c r="F15" t="s">
        <v>251</v>
      </c>
      <c r="G15" t="s">
        <v>252</v>
      </c>
      <c r="H15" t="s">
        <v>253</v>
      </c>
      <c r="I15" t="s">
        <v>254</v>
      </c>
      <c r="J15" t="s">
        <v>255</v>
      </c>
      <c r="K15" t="s">
        <v>256</v>
      </c>
      <c r="L15" t="s">
        <v>257</v>
      </c>
    </row>
    <row r="16" spans="1:12" ht="12.75">
      <c r="A16" t="s">
        <v>258</v>
      </c>
      <c r="B16" t="s">
        <v>259</v>
      </c>
      <c r="C16" t="s">
        <v>260</v>
      </c>
      <c r="D16" t="s">
        <v>261</v>
      </c>
      <c r="E16" t="s">
        <v>262</v>
      </c>
      <c r="F16" t="s">
        <v>263</v>
      </c>
      <c r="G16" t="s">
        <v>264</v>
      </c>
      <c r="H16" t="s">
        <v>265</v>
      </c>
      <c r="I16" t="s">
        <v>266</v>
      </c>
      <c r="J16" t="s">
        <v>267</v>
      </c>
      <c r="K16" t="s">
        <v>268</v>
      </c>
      <c r="L16" t="s">
        <v>269</v>
      </c>
    </row>
    <row r="17" spans="1:12" ht="12.75">
      <c r="A17" t="s">
        <v>270</v>
      </c>
      <c r="B17" t="s">
        <v>271</v>
      </c>
      <c r="C17" t="s">
        <v>272</v>
      </c>
      <c r="D17" t="s">
        <v>273</v>
      </c>
      <c r="E17" t="s">
        <v>274</v>
      </c>
      <c r="F17" t="s">
        <v>275</v>
      </c>
      <c r="G17" t="s">
        <v>276</v>
      </c>
      <c r="H17" t="s">
        <v>277</v>
      </c>
      <c r="I17" t="s">
        <v>278</v>
      </c>
      <c r="J17" t="s">
        <v>279</v>
      </c>
      <c r="K17" t="s">
        <v>280</v>
      </c>
      <c r="L17" t="s">
        <v>281</v>
      </c>
    </row>
    <row r="18" spans="1:12" ht="12.75">
      <c r="A18" t="s">
        <v>282</v>
      </c>
      <c r="B18" t="s">
        <v>283</v>
      </c>
      <c r="C18" t="s">
        <v>284</v>
      </c>
      <c r="D18" t="s">
        <v>285</v>
      </c>
      <c r="E18" t="s">
        <v>286</v>
      </c>
      <c r="F18" t="s">
        <v>287</v>
      </c>
      <c r="G18" t="s">
        <v>288</v>
      </c>
      <c r="H18" t="s">
        <v>289</v>
      </c>
      <c r="I18" t="s">
        <v>290</v>
      </c>
      <c r="J18" t="s">
        <v>291</v>
      </c>
      <c r="K18" t="s">
        <v>292</v>
      </c>
      <c r="L18" t="s">
        <v>293</v>
      </c>
    </row>
    <row r="19" spans="1:12" ht="12.75">
      <c r="A19" t="s">
        <v>294</v>
      </c>
      <c r="B19" t="s">
        <v>295</v>
      </c>
      <c r="C19" t="s">
        <v>296</v>
      </c>
      <c r="D19" t="s">
        <v>297</v>
      </c>
      <c r="E19" t="s">
        <v>298</v>
      </c>
      <c r="F19" t="s">
        <v>299</v>
      </c>
      <c r="G19" t="s">
        <v>300</v>
      </c>
      <c r="H19" t="s">
        <v>301</v>
      </c>
      <c r="I19" t="s">
        <v>302</v>
      </c>
      <c r="J19" t="s">
        <v>303</v>
      </c>
      <c r="K19" t="s">
        <v>304</v>
      </c>
      <c r="L19" t="s">
        <v>305</v>
      </c>
    </row>
    <row r="20" spans="1:4" ht="12.75">
      <c r="A20" t="s">
        <v>150</v>
      </c>
      <c r="B20" t="s">
        <v>306</v>
      </c>
      <c r="C20" t="s">
        <v>307</v>
      </c>
      <c r="D20" t="s">
        <v>308</v>
      </c>
    </row>
    <row r="21" spans="1:4" ht="12.75">
      <c r="A21" t="s">
        <v>162</v>
      </c>
      <c r="B21" t="s">
        <v>309</v>
      </c>
      <c r="C21" t="s">
        <v>310</v>
      </c>
      <c r="D21" t="s">
        <v>311</v>
      </c>
    </row>
    <row r="22" spans="1:4" ht="12.75">
      <c r="A22" t="s">
        <v>174</v>
      </c>
      <c r="B22" t="s">
        <v>312</v>
      </c>
      <c r="C22" t="s">
        <v>313</v>
      </c>
      <c r="D22" t="s">
        <v>314</v>
      </c>
    </row>
    <row r="23" spans="1:4" ht="12.75">
      <c r="A23" t="s">
        <v>186</v>
      </c>
      <c r="B23" t="s">
        <v>315</v>
      </c>
      <c r="C23" t="s">
        <v>316</v>
      </c>
      <c r="D23" t="s">
        <v>317</v>
      </c>
    </row>
    <row r="24" spans="1:4" ht="12.75">
      <c r="A24" t="s">
        <v>198</v>
      </c>
      <c r="B24" t="s">
        <v>318</v>
      </c>
      <c r="C24" t="s">
        <v>319</v>
      </c>
      <c r="D24" t="s">
        <v>320</v>
      </c>
    </row>
    <row r="25" spans="1:4" ht="12.75">
      <c r="A25" t="s">
        <v>210</v>
      </c>
      <c r="B25" t="s">
        <v>321</v>
      </c>
      <c r="C25" t="s">
        <v>322</v>
      </c>
      <c r="D25" t="s">
        <v>323</v>
      </c>
    </row>
    <row r="26" spans="1:4" ht="12.75">
      <c r="A26" t="s">
        <v>222</v>
      </c>
      <c r="B26" t="s">
        <v>324</v>
      </c>
      <c r="C26" t="s">
        <v>325</v>
      </c>
      <c r="D26" t="s">
        <v>326</v>
      </c>
    </row>
    <row r="27" spans="1:4" ht="12.75">
      <c r="A27" t="s">
        <v>234</v>
      </c>
      <c r="B27" t="s">
        <v>327</v>
      </c>
      <c r="C27" t="s">
        <v>328</v>
      </c>
      <c r="D27" t="s">
        <v>329</v>
      </c>
    </row>
    <row r="28" spans="1:4" ht="12.75">
      <c r="A28" t="s">
        <v>246</v>
      </c>
      <c r="B28" t="s">
        <v>330</v>
      </c>
      <c r="C28" t="s">
        <v>331</v>
      </c>
      <c r="D28" t="s">
        <v>332</v>
      </c>
    </row>
    <row r="29" spans="1:4" ht="12.75">
      <c r="A29" t="s">
        <v>258</v>
      </c>
      <c r="B29" t="s">
        <v>333</v>
      </c>
      <c r="C29" t="s">
        <v>334</v>
      </c>
      <c r="D29" t="s">
        <v>335</v>
      </c>
    </row>
    <row r="30" spans="1:4" ht="12.75">
      <c r="A30" t="s">
        <v>270</v>
      </c>
      <c r="B30" t="s">
        <v>336</v>
      </c>
      <c r="C30" t="s">
        <v>337</v>
      </c>
      <c r="D30" t="s">
        <v>338</v>
      </c>
    </row>
    <row r="31" spans="1:4" ht="12.75">
      <c r="A31" t="s">
        <v>282</v>
      </c>
      <c r="B31" t="s">
        <v>339</v>
      </c>
      <c r="C31" t="s">
        <v>340</v>
      </c>
      <c r="D31" t="s">
        <v>338</v>
      </c>
    </row>
    <row r="32" spans="1:4" ht="12.75">
      <c r="A32" t="s">
        <v>294</v>
      </c>
      <c r="B32" t="s">
        <v>341</v>
      </c>
      <c r="C32" t="s">
        <v>342</v>
      </c>
      <c r="D32" t="s">
        <v>338</v>
      </c>
    </row>
    <row r="34" ht="12.75">
      <c r="A34" t="s">
        <v>343</v>
      </c>
    </row>
    <row r="35" ht="12.75">
      <c r="A35" t="s">
        <v>344</v>
      </c>
    </row>
    <row r="36" ht="12.75">
      <c r="A36" t="s">
        <v>345</v>
      </c>
    </row>
    <row r="37" ht="12.75">
      <c r="A37" t="s">
        <v>346</v>
      </c>
    </row>
    <row r="38" ht="12.75">
      <c r="A38" t="s">
        <v>347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:P36"/>
    </sheetView>
  </sheetViews>
  <sheetFormatPr defaultColWidth="9.140625" defaultRowHeight="12.75"/>
  <cols>
    <col min="1" max="1" width="3.140625" style="2" customWidth="1"/>
    <col min="2" max="2" width="11.140625" style="2" customWidth="1"/>
    <col min="3" max="3" width="8.7109375" style="2" customWidth="1"/>
    <col min="4" max="4" width="10.8515625" style="2" customWidth="1"/>
    <col min="5" max="5" width="8.7109375" style="2" customWidth="1"/>
    <col min="6" max="6" width="7.7109375" style="216" customWidth="1"/>
    <col min="7" max="7" width="9.57421875" style="216" customWidth="1"/>
    <col min="8" max="8" width="6.57421875" style="216" customWidth="1"/>
    <col min="9" max="9" width="7.28125" style="216" customWidth="1"/>
    <col min="10" max="10" width="7.28125" style="216" bestFit="1" customWidth="1"/>
    <col min="11" max="11" width="10.00390625" style="2" customWidth="1"/>
    <col min="12" max="12" width="10.00390625" style="1" customWidth="1"/>
    <col min="13" max="13" width="9.7109375" style="2" customWidth="1"/>
    <col min="14" max="14" width="8.7109375" style="2" customWidth="1"/>
    <col min="15" max="15" width="8.421875" style="2" bestFit="1" customWidth="1"/>
    <col min="16" max="16" width="11.8515625" style="2" customWidth="1"/>
    <col min="17" max="17" width="11.57421875" style="1" customWidth="1"/>
    <col min="18" max="18" width="11.7109375" style="1" customWidth="1"/>
    <col min="19" max="16384" width="11.421875" style="1" customWidth="1"/>
  </cols>
  <sheetData>
    <row r="1" spans="1:16" ht="12.75">
      <c r="A1" s="7">
        <v>1</v>
      </c>
      <c r="B1" s="7" t="s">
        <v>27</v>
      </c>
      <c r="C1" s="8"/>
      <c r="D1" s="8"/>
      <c r="E1" s="8"/>
      <c r="F1" s="210"/>
      <c r="G1" s="210"/>
      <c r="H1" s="210"/>
      <c r="I1" s="210"/>
      <c r="J1" s="210"/>
      <c r="K1" s="8"/>
      <c r="L1" s="218"/>
      <c r="M1" s="8"/>
      <c r="N1" s="8"/>
      <c r="O1" s="8"/>
      <c r="P1" s="9"/>
    </row>
    <row r="2" spans="1:16" ht="12.75">
      <c r="A2" s="10">
        <v>2</v>
      </c>
      <c r="B2" s="10" t="s">
        <v>24</v>
      </c>
      <c r="C2" s="11"/>
      <c r="D2" s="11"/>
      <c r="E2" s="11"/>
      <c r="F2" s="211"/>
      <c r="G2" s="211"/>
      <c r="H2" s="211"/>
      <c r="I2" s="211"/>
      <c r="J2" s="211"/>
      <c r="K2" s="11"/>
      <c r="L2" s="219"/>
      <c r="M2" s="11"/>
      <c r="N2" s="11"/>
      <c r="O2" s="11"/>
      <c r="P2" s="12"/>
    </row>
    <row r="3" spans="1:16" ht="12.75">
      <c r="A3" s="10">
        <v>3</v>
      </c>
      <c r="B3" s="10" t="s">
        <v>28</v>
      </c>
      <c r="C3" s="11"/>
      <c r="D3" s="11"/>
      <c r="E3" s="11"/>
      <c r="F3" s="211"/>
      <c r="G3" s="34"/>
      <c r="H3" s="211"/>
      <c r="I3" s="211"/>
      <c r="J3" s="211"/>
      <c r="K3" s="11"/>
      <c r="L3" s="219"/>
      <c r="M3" s="11"/>
      <c r="N3" s="11"/>
      <c r="O3" s="11"/>
      <c r="P3" s="12"/>
    </row>
    <row r="4" spans="1:16" ht="13.5" thickBot="1">
      <c r="A4" s="10">
        <v>4</v>
      </c>
      <c r="B4" s="13"/>
      <c r="C4" s="14"/>
      <c r="D4" s="14"/>
      <c r="E4" s="14"/>
      <c r="F4" s="212"/>
      <c r="G4" s="212"/>
      <c r="H4" s="212"/>
      <c r="I4" s="212"/>
      <c r="J4" s="212"/>
      <c r="K4" s="15"/>
      <c r="L4" s="85"/>
      <c r="M4" s="15"/>
      <c r="N4" s="15"/>
      <c r="O4" s="15"/>
      <c r="P4" s="16"/>
    </row>
    <row r="5" spans="1:16" ht="13.5" thickBot="1">
      <c r="A5" s="10">
        <v>5</v>
      </c>
      <c r="B5" s="45" t="s">
        <v>0</v>
      </c>
      <c r="C5" s="44" t="s">
        <v>1</v>
      </c>
      <c r="D5" s="45" t="s">
        <v>2</v>
      </c>
      <c r="E5" s="44" t="s">
        <v>3</v>
      </c>
      <c r="F5" s="217" t="s">
        <v>4</v>
      </c>
      <c r="G5" s="213" t="s">
        <v>5</v>
      </c>
      <c r="H5" s="217" t="s">
        <v>6</v>
      </c>
      <c r="I5" s="217" t="s">
        <v>7</v>
      </c>
      <c r="J5" s="213" t="s">
        <v>8</v>
      </c>
      <c r="K5" s="45" t="s">
        <v>9</v>
      </c>
      <c r="L5" s="4" t="s">
        <v>10</v>
      </c>
      <c r="M5" s="45" t="s">
        <v>11</v>
      </c>
      <c r="N5" s="45" t="s">
        <v>25</v>
      </c>
      <c r="O5" s="44" t="s">
        <v>26</v>
      </c>
      <c r="P5" s="45" t="s">
        <v>42</v>
      </c>
    </row>
    <row r="6" spans="1:16" ht="12.75">
      <c r="A6" s="10">
        <v>6</v>
      </c>
      <c r="B6" s="27" t="s">
        <v>12</v>
      </c>
      <c r="C6" s="31" t="s">
        <v>37</v>
      </c>
      <c r="D6" s="27" t="s">
        <v>34</v>
      </c>
      <c r="E6" s="31" t="s">
        <v>43</v>
      </c>
      <c r="F6" s="29" t="s">
        <v>13</v>
      </c>
      <c r="G6" s="29" t="s">
        <v>40</v>
      </c>
      <c r="H6" s="29" t="s">
        <v>44</v>
      </c>
      <c r="I6" s="29" t="s">
        <v>40</v>
      </c>
      <c r="J6" s="29" t="s">
        <v>14</v>
      </c>
      <c r="K6" s="324" t="s">
        <v>41</v>
      </c>
      <c r="L6" s="309" t="s">
        <v>20</v>
      </c>
      <c r="M6" s="324" t="str">
        <f>K6</f>
        <v>Subtotal</v>
      </c>
      <c r="N6" s="314" t="s">
        <v>15</v>
      </c>
      <c r="O6" s="314" t="s">
        <v>15</v>
      </c>
      <c r="P6" s="332" t="s">
        <v>16</v>
      </c>
    </row>
    <row r="7" spans="1:16" ht="13.5" thickBot="1">
      <c r="A7" s="10">
        <v>7</v>
      </c>
      <c r="B7" s="28" t="s">
        <v>17</v>
      </c>
      <c r="C7" s="32" t="s">
        <v>38</v>
      </c>
      <c r="D7" s="128" t="s">
        <v>35</v>
      </c>
      <c r="E7" s="30" t="s">
        <v>39</v>
      </c>
      <c r="F7" s="30" t="s">
        <v>18</v>
      </c>
      <c r="G7" s="30" t="s">
        <v>19</v>
      </c>
      <c r="H7" s="30" t="s">
        <v>18</v>
      </c>
      <c r="I7" s="30" t="s">
        <v>29</v>
      </c>
      <c r="J7" s="43" t="s">
        <v>45</v>
      </c>
      <c r="K7" s="325">
        <v>1</v>
      </c>
      <c r="L7" s="310" t="s">
        <v>60</v>
      </c>
      <c r="M7" s="325">
        <v>2</v>
      </c>
      <c r="N7" s="315">
        <v>0.08</v>
      </c>
      <c r="O7" s="315">
        <v>0.4</v>
      </c>
      <c r="P7" s="333" t="s">
        <v>21</v>
      </c>
    </row>
    <row r="8" spans="1:16" ht="12.75">
      <c r="A8" s="10">
        <v>8</v>
      </c>
      <c r="B8" s="129">
        <v>34714</v>
      </c>
      <c r="C8" s="25">
        <v>430</v>
      </c>
      <c r="D8" s="26">
        <f>C8*0.3</f>
        <v>129</v>
      </c>
      <c r="E8" s="234">
        <f>(C8+D8)/220</f>
        <v>2.540909090909091</v>
      </c>
      <c r="F8" s="26">
        <v>43.3</v>
      </c>
      <c r="G8" s="26">
        <f>E8*1.5*F8</f>
        <v>165.03204545454545</v>
      </c>
      <c r="H8" s="26">
        <v>8</v>
      </c>
      <c r="I8" s="18">
        <f>(E8*2)*H8</f>
        <v>40.654545454545456</v>
      </c>
      <c r="J8" s="26">
        <f>(G8+I8)/6</f>
        <v>34.281098484848485</v>
      </c>
      <c r="K8" s="326">
        <f>D8+G8+I8+J8</f>
        <v>368.9676893939394</v>
      </c>
      <c r="L8" s="311">
        <f>'INSS das Partes'!E12</f>
        <v>36.04814325378788</v>
      </c>
      <c r="M8" s="329">
        <f aca="true" t="shared" si="0" ref="M8:M26">K8-L8</f>
        <v>332.9195461401515</v>
      </c>
      <c r="N8" s="316">
        <f>K8*0.08</f>
        <v>29.517415151515152</v>
      </c>
      <c r="O8" s="317">
        <f>N8*0.4</f>
        <v>11.806966060606062</v>
      </c>
      <c r="P8" s="334">
        <f>M8+N8+O8</f>
        <v>374.2439273522727</v>
      </c>
    </row>
    <row r="9" spans="1:16" ht="12.75">
      <c r="A9" s="10">
        <v>9</v>
      </c>
      <c r="B9" s="130">
        <v>34731</v>
      </c>
      <c r="C9" s="17">
        <v>430</v>
      </c>
      <c r="D9" s="18">
        <f aca="true" t="shared" si="1" ref="D9:D26">C9*0.3</f>
        <v>129</v>
      </c>
      <c r="E9" s="18">
        <f>(C9+D9)/220</f>
        <v>2.540909090909091</v>
      </c>
      <c r="F9" s="18">
        <v>43.3</v>
      </c>
      <c r="G9" s="18">
        <f>E9*1.5*F9</f>
        <v>165.03204545454545</v>
      </c>
      <c r="H9" s="18">
        <v>8</v>
      </c>
      <c r="I9" s="18">
        <f aca="true" t="shared" si="2" ref="I9:I19">(E9*2)*H9</f>
        <v>40.654545454545456</v>
      </c>
      <c r="J9" s="18">
        <f>(G9+I9)/6</f>
        <v>34.281098484848485</v>
      </c>
      <c r="K9" s="327">
        <f>D9+G9+I9+J9</f>
        <v>368.9676893939394</v>
      </c>
      <c r="L9" s="312">
        <f>'INSS das Partes'!E13</f>
        <v>36.04814325378788</v>
      </c>
      <c r="M9" s="327">
        <f t="shared" si="0"/>
        <v>332.9195461401515</v>
      </c>
      <c r="N9" s="318">
        <f>K9*0.08</f>
        <v>29.517415151515152</v>
      </c>
      <c r="O9" s="319">
        <f aca="true" t="shared" si="3" ref="O9:O26">N9*0.4</f>
        <v>11.806966060606062</v>
      </c>
      <c r="P9" s="335">
        <f aca="true" t="shared" si="4" ref="P9:P26">M9+N9+O9</f>
        <v>374.2439273522727</v>
      </c>
    </row>
    <row r="10" spans="1:16" ht="12.75">
      <c r="A10" s="10">
        <v>10</v>
      </c>
      <c r="B10" s="130">
        <v>34759</v>
      </c>
      <c r="C10" s="17">
        <v>430</v>
      </c>
      <c r="D10" s="18">
        <f t="shared" si="1"/>
        <v>129</v>
      </c>
      <c r="E10" s="18">
        <f aca="true" t="shared" si="5" ref="E10:E26">(C10+D10)/220</f>
        <v>2.540909090909091</v>
      </c>
      <c r="F10" s="18">
        <v>43.3</v>
      </c>
      <c r="G10" s="18">
        <f aca="true" t="shared" si="6" ref="G10:G26">E10*1.5*F10</f>
        <v>165.03204545454545</v>
      </c>
      <c r="H10" s="18">
        <v>8</v>
      </c>
      <c r="I10" s="18">
        <f t="shared" si="2"/>
        <v>40.654545454545456</v>
      </c>
      <c r="J10" s="18">
        <f aca="true" t="shared" si="7" ref="J10:J26">(G10+I10)/6</f>
        <v>34.281098484848485</v>
      </c>
      <c r="K10" s="327">
        <f aca="true" t="shared" si="8" ref="K10:K26">D10+G10+I10+J10</f>
        <v>368.9676893939394</v>
      </c>
      <c r="L10" s="312">
        <f>'INSS das Partes'!E14</f>
        <v>36.04814325378788</v>
      </c>
      <c r="M10" s="327">
        <f t="shared" si="0"/>
        <v>332.9195461401515</v>
      </c>
      <c r="N10" s="318">
        <f>K10*0.08</f>
        <v>29.517415151515152</v>
      </c>
      <c r="O10" s="319">
        <f t="shared" si="3"/>
        <v>11.806966060606062</v>
      </c>
      <c r="P10" s="335">
        <f t="shared" si="4"/>
        <v>374.2439273522727</v>
      </c>
    </row>
    <row r="11" spans="1:16" ht="12.75">
      <c r="A11" s="10">
        <v>11</v>
      </c>
      <c r="B11" s="130">
        <v>34790</v>
      </c>
      <c r="C11" s="17">
        <v>430</v>
      </c>
      <c r="D11" s="18">
        <f t="shared" si="1"/>
        <v>129</v>
      </c>
      <c r="E11" s="18">
        <f t="shared" si="5"/>
        <v>2.540909090909091</v>
      </c>
      <c r="F11" s="18">
        <v>43.3</v>
      </c>
      <c r="G11" s="18">
        <f t="shared" si="6"/>
        <v>165.03204545454545</v>
      </c>
      <c r="H11" s="18">
        <v>8</v>
      </c>
      <c r="I11" s="18">
        <f t="shared" si="2"/>
        <v>40.654545454545456</v>
      </c>
      <c r="J11" s="18">
        <f t="shared" si="7"/>
        <v>34.281098484848485</v>
      </c>
      <c r="K11" s="327">
        <f t="shared" si="8"/>
        <v>368.9676893939394</v>
      </c>
      <c r="L11" s="312">
        <f>'INSS das Partes'!E15</f>
        <v>36.04814325378788</v>
      </c>
      <c r="M11" s="327">
        <f t="shared" si="0"/>
        <v>332.9195461401515</v>
      </c>
      <c r="N11" s="318">
        <f aca="true" t="shared" si="9" ref="N11:N26">K11*0.08</f>
        <v>29.517415151515152</v>
      </c>
      <c r="O11" s="319">
        <f t="shared" si="3"/>
        <v>11.806966060606062</v>
      </c>
      <c r="P11" s="335">
        <f t="shared" si="4"/>
        <v>374.2439273522727</v>
      </c>
    </row>
    <row r="12" spans="1:16" ht="12.75">
      <c r="A12" s="10">
        <v>12</v>
      </c>
      <c r="B12" s="130">
        <v>34820</v>
      </c>
      <c r="C12" s="17">
        <v>500</v>
      </c>
      <c r="D12" s="18">
        <f t="shared" si="1"/>
        <v>150</v>
      </c>
      <c r="E12" s="18">
        <f t="shared" si="5"/>
        <v>2.9545454545454546</v>
      </c>
      <c r="F12" s="18">
        <v>43.3</v>
      </c>
      <c r="G12" s="18">
        <f t="shared" si="6"/>
        <v>191.89772727272725</v>
      </c>
      <c r="H12" s="18">
        <v>8</v>
      </c>
      <c r="I12" s="18">
        <f t="shared" si="2"/>
        <v>47.27272727272727</v>
      </c>
      <c r="J12" s="18">
        <f t="shared" si="7"/>
        <v>39.86174242424242</v>
      </c>
      <c r="K12" s="327">
        <f t="shared" si="8"/>
        <v>429.03219696969694</v>
      </c>
      <c r="L12" s="312">
        <f>'INSS das Partes'!E16</f>
        <v>41.91644564393939</v>
      </c>
      <c r="M12" s="327">
        <f t="shared" si="0"/>
        <v>387.11575132575757</v>
      </c>
      <c r="N12" s="318">
        <f t="shared" si="9"/>
        <v>34.322575757575756</v>
      </c>
      <c r="O12" s="319">
        <f t="shared" si="3"/>
        <v>13.729030303030303</v>
      </c>
      <c r="P12" s="335">
        <f t="shared" si="4"/>
        <v>435.1673573863636</v>
      </c>
    </row>
    <row r="13" spans="1:16" ht="12.75">
      <c r="A13" s="10">
        <v>13</v>
      </c>
      <c r="B13" s="130">
        <v>34851</v>
      </c>
      <c r="C13" s="17">
        <v>500</v>
      </c>
      <c r="D13" s="18">
        <f t="shared" si="1"/>
        <v>150</v>
      </c>
      <c r="E13" s="18">
        <f t="shared" si="5"/>
        <v>2.9545454545454546</v>
      </c>
      <c r="F13" s="18">
        <v>43.3</v>
      </c>
      <c r="G13" s="18">
        <f t="shared" si="6"/>
        <v>191.89772727272725</v>
      </c>
      <c r="H13" s="18">
        <v>8</v>
      </c>
      <c r="I13" s="18">
        <f t="shared" si="2"/>
        <v>47.27272727272727</v>
      </c>
      <c r="J13" s="18">
        <f t="shared" si="7"/>
        <v>39.86174242424242</v>
      </c>
      <c r="K13" s="327">
        <f t="shared" si="8"/>
        <v>429.03219696969694</v>
      </c>
      <c r="L13" s="312">
        <f>'INSS das Partes'!E17</f>
        <v>41.91644564393939</v>
      </c>
      <c r="M13" s="327">
        <f t="shared" si="0"/>
        <v>387.11575132575757</v>
      </c>
      <c r="N13" s="318">
        <f t="shared" si="9"/>
        <v>34.322575757575756</v>
      </c>
      <c r="O13" s="319">
        <f t="shared" si="3"/>
        <v>13.729030303030303</v>
      </c>
      <c r="P13" s="335">
        <f t="shared" si="4"/>
        <v>435.1673573863636</v>
      </c>
    </row>
    <row r="14" spans="1:16" ht="12.75">
      <c r="A14" s="10">
        <v>14</v>
      </c>
      <c r="B14" s="130">
        <v>34881</v>
      </c>
      <c r="C14" s="17">
        <v>500</v>
      </c>
      <c r="D14" s="18">
        <f t="shared" si="1"/>
        <v>150</v>
      </c>
      <c r="E14" s="18">
        <f t="shared" si="5"/>
        <v>2.9545454545454546</v>
      </c>
      <c r="F14" s="18">
        <v>43.3</v>
      </c>
      <c r="G14" s="18">
        <f t="shared" si="6"/>
        <v>191.89772727272725</v>
      </c>
      <c r="H14" s="18">
        <v>8</v>
      </c>
      <c r="I14" s="18">
        <f t="shared" si="2"/>
        <v>47.27272727272727</v>
      </c>
      <c r="J14" s="18">
        <f t="shared" si="7"/>
        <v>39.86174242424242</v>
      </c>
      <c r="K14" s="327">
        <f t="shared" si="8"/>
        <v>429.03219696969694</v>
      </c>
      <c r="L14" s="312">
        <f>'INSS das Partes'!E18</f>
        <v>41.91644564393939</v>
      </c>
      <c r="M14" s="327">
        <f t="shared" si="0"/>
        <v>387.11575132575757</v>
      </c>
      <c r="N14" s="318">
        <f t="shared" si="9"/>
        <v>34.322575757575756</v>
      </c>
      <c r="O14" s="319">
        <f t="shared" si="3"/>
        <v>13.729030303030303</v>
      </c>
      <c r="P14" s="335">
        <f t="shared" si="4"/>
        <v>435.1673573863636</v>
      </c>
    </row>
    <row r="15" spans="1:16" ht="12.75">
      <c r="A15" s="10">
        <v>15</v>
      </c>
      <c r="B15" s="130">
        <v>34912</v>
      </c>
      <c r="C15" s="17">
        <v>500</v>
      </c>
      <c r="D15" s="18">
        <f t="shared" si="1"/>
        <v>150</v>
      </c>
      <c r="E15" s="18">
        <f t="shared" si="5"/>
        <v>2.9545454545454546</v>
      </c>
      <c r="F15" s="18">
        <v>43.3</v>
      </c>
      <c r="G15" s="18">
        <f t="shared" si="6"/>
        <v>191.89772727272725</v>
      </c>
      <c r="H15" s="18">
        <v>8</v>
      </c>
      <c r="I15" s="18">
        <f t="shared" si="2"/>
        <v>47.27272727272727</v>
      </c>
      <c r="J15" s="18">
        <f t="shared" si="7"/>
        <v>39.86174242424242</v>
      </c>
      <c r="K15" s="327">
        <f t="shared" si="8"/>
        <v>429.03219696969694</v>
      </c>
      <c r="L15" s="312">
        <f>'INSS das Partes'!E19</f>
        <v>41.91644564393939</v>
      </c>
      <c r="M15" s="327">
        <f t="shared" si="0"/>
        <v>387.11575132575757</v>
      </c>
      <c r="N15" s="318">
        <f t="shared" si="9"/>
        <v>34.322575757575756</v>
      </c>
      <c r="O15" s="319">
        <f t="shared" si="3"/>
        <v>13.729030303030303</v>
      </c>
      <c r="P15" s="335">
        <f t="shared" si="4"/>
        <v>435.1673573863636</v>
      </c>
    </row>
    <row r="16" spans="1:16" ht="12.75">
      <c r="A16" s="10">
        <v>16</v>
      </c>
      <c r="B16" s="130">
        <v>34943</v>
      </c>
      <c r="C16" s="17">
        <v>500</v>
      </c>
      <c r="D16" s="18">
        <f t="shared" si="1"/>
        <v>150</v>
      </c>
      <c r="E16" s="18">
        <f t="shared" si="5"/>
        <v>2.9545454545454546</v>
      </c>
      <c r="F16" s="18">
        <v>43.3</v>
      </c>
      <c r="G16" s="18">
        <f t="shared" si="6"/>
        <v>191.89772727272725</v>
      </c>
      <c r="H16" s="18">
        <v>8</v>
      </c>
      <c r="I16" s="18">
        <f t="shared" si="2"/>
        <v>47.27272727272727</v>
      </c>
      <c r="J16" s="18">
        <f t="shared" si="7"/>
        <v>39.86174242424242</v>
      </c>
      <c r="K16" s="327">
        <f t="shared" si="8"/>
        <v>429.03219696969694</v>
      </c>
      <c r="L16" s="312">
        <f>'INSS das Partes'!E20</f>
        <v>41.91644564393939</v>
      </c>
      <c r="M16" s="327">
        <f t="shared" si="0"/>
        <v>387.11575132575757</v>
      </c>
      <c r="N16" s="318">
        <f t="shared" si="9"/>
        <v>34.322575757575756</v>
      </c>
      <c r="O16" s="319">
        <f t="shared" si="3"/>
        <v>13.729030303030303</v>
      </c>
      <c r="P16" s="335">
        <f t="shared" si="4"/>
        <v>435.1673573863636</v>
      </c>
    </row>
    <row r="17" spans="1:16" ht="12.75">
      <c r="A17" s="10">
        <v>17</v>
      </c>
      <c r="B17" s="130">
        <v>34973</v>
      </c>
      <c r="C17" s="17">
        <v>500</v>
      </c>
      <c r="D17" s="18">
        <f t="shared" si="1"/>
        <v>150</v>
      </c>
      <c r="E17" s="18">
        <f t="shared" si="5"/>
        <v>2.9545454545454546</v>
      </c>
      <c r="F17" s="18">
        <v>43.3</v>
      </c>
      <c r="G17" s="18">
        <f t="shared" si="6"/>
        <v>191.89772727272725</v>
      </c>
      <c r="H17" s="18">
        <v>8</v>
      </c>
      <c r="I17" s="18">
        <f t="shared" si="2"/>
        <v>47.27272727272727</v>
      </c>
      <c r="J17" s="18">
        <f t="shared" si="7"/>
        <v>39.86174242424242</v>
      </c>
      <c r="K17" s="327">
        <f t="shared" si="8"/>
        <v>429.03219696969694</v>
      </c>
      <c r="L17" s="312">
        <f>'INSS das Partes'!E21</f>
        <v>41.91644564393939</v>
      </c>
      <c r="M17" s="327">
        <f t="shared" si="0"/>
        <v>387.11575132575757</v>
      </c>
      <c r="N17" s="318">
        <f t="shared" si="9"/>
        <v>34.322575757575756</v>
      </c>
      <c r="O17" s="319">
        <f t="shared" si="3"/>
        <v>13.729030303030303</v>
      </c>
      <c r="P17" s="335">
        <f t="shared" si="4"/>
        <v>435.1673573863636</v>
      </c>
    </row>
    <row r="18" spans="1:16" ht="12.75">
      <c r="A18" s="10">
        <v>18</v>
      </c>
      <c r="B18" s="130">
        <v>35004</v>
      </c>
      <c r="C18" s="17">
        <v>500</v>
      </c>
      <c r="D18" s="18">
        <f t="shared" si="1"/>
        <v>150</v>
      </c>
      <c r="E18" s="18">
        <f t="shared" si="5"/>
        <v>2.9545454545454546</v>
      </c>
      <c r="F18" s="18">
        <v>43.3</v>
      </c>
      <c r="G18" s="18">
        <f t="shared" si="6"/>
        <v>191.89772727272725</v>
      </c>
      <c r="H18" s="18">
        <v>8</v>
      </c>
      <c r="I18" s="18">
        <f t="shared" si="2"/>
        <v>47.27272727272727</v>
      </c>
      <c r="J18" s="18">
        <f t="shared" si="7"/>
        <v>39.86174242424242</v>
      </c>
      <c r="K18" s="327">
        <f t="shared" si="8"/>
        <v>429.03219696969694</v>
      </c>
      <c r="L18" s="312">
        <f>'INSS das Partes'!E22</f>
        <v>41.91644564393939</v>
      </c>
      <c r="M18" s="327">
        <f t="shared" si="0"/>
        <v>387.11575132575757</v>
      </c>
      <c r="N18" s="318">
        <f t="shared" si="9"/>
        <v>34.322575757575756</v>
      </c>
      <c r="O18" s="319">
        <f t="shared" si="3"/>
        <v>13.729030303030303</v>
      </c>
      <c r="P18" s="335">
        <f t="shared" si="4"/>
        <v>435.1673573863636</v>
      </c>
    </row>
    <row r="19" spans="1:16" ht="12.75">
      <c r="A19" s="10">
        <v>19</v>
      </c>
      <c r="B19" s="130">
        <v>35034</v>
      </c>
      <c r="C19" s="17">
        <v>500</v>
      </c>
      <c r="D19" s="18">
        <f t="shared" si="1"/>
        <v>150</v>
      </c>
      <c r="E19" s="18">
        <f t="shared" si="5"/>
        <v>2.9545454545454546</v>
      </c>
      <c r="F19" s="18">
        <v>43.3</v>
      </c>
      <c r="G19" s="18">
        <f t="shared" si="6"/>
        <v>191.89772727272725</v>
      </c>
      <c r="H19" s="18">
        <v>8</v>
      </c>
      <c r="I19" s="18">
        <f t="shared" si="2"/>
        <v>47.27272727272727</v>
      </c>
      <c r="J19" s="18">
        <f t="shared" si="7"/>
        <v>39.86174242424242</v>
      </c>
      <c r="K19" s="327">
        <f t="shared" si="8"/>
        <v>429.03219696969694</v>
      </c>
      <c r="L19" s="312">
        <f>'INSS das Partes'!E23</f>
        <v>41.91644564393939</v>
      </c>
      <c r="M19" s="327">
        <f t="shared" si="0"/>
        <v>387.11575132575757</v>
      </c>
      <c r="N19" s="318">
        <f t="shared" si="9"/>
        <v>34.322575757575756</v>
      </c>
      <c r="O19" s="319">
        <f t="shared" si="3"/>
        <v>13.729030303030303</v>
      </c>
      <c r="P19" s="335">
        <f t="shared" si="4"/>
        <v>435.1673573863636</v>
      </c>
    </row>
    <row r="20" spans="1:16" ht="12.75">
      <c r="A20" s="10">
        <v>20</v>
      </c>
      <c r="B20" s="131" t="s">
        <v>36</v>
      </c>
      <c r="C20" s="17">
        <v>500</v>
      </c>
      <c r="D20" s="306">
        <f>C20*0.3/12*12</f>
        <v>150</v>
      </c>
      <c r="E20" s="18">
        <f t="shared" si="5"/>
        <v>2.9545454545454546</v>
      </c>
      <c r="F20" s="307">
        <f>SUM(F8:F19)/12</f>
        <v>43.300000000000004</v>
      </c>
      <c r="G20" s="18">
        <f t="shared" si="6"/>
        <v>191.89772727272728</v>
      </c>
      <c r="H20" s="308">
        <f>SUM(H8:H19)/12</f>
        <v>8</v>
      </c>
      <c r="I20" s="18">
        <f aca="true" t="shared" si="10" ref="I20:I26">(E20*2)*H20</f>
        <v>47.27272727272727</v>
      </c>
      <c r="J20" s="18">
        <f t="shared" si="7"/>
        <v>39.86174242424243</v>
      </c>
      <c r="K20" s="327">
        <f t="shared" si="8"/>
        <v>429.03219696969694</v>
      </c>
      <c r="L20" s="312">
        <f>'INSS das Partes'!E24</f>
        <v>41.91644564393939</v>
      </c>
      <c r="M20" s="327">
        <f t="shared" si="0"/>
        <v>387.11575132575757</v>
      </c>
      <c r="N20" s="318">
        <f t="shared" si="9"/>
        <v>34.322575757575756</v>
      </c>
      <c r="O20" s="319">
        <f t="shared" si="3"/>
        <v>13.729030303030303</v>
      </c>
      <c r="P20" s="335">
        <f t="shared" si="4"/>
        <v>435.1673573863636</v>
      </c>
    </row>
    <row r="21" spans="1:16" ht="12.75">
      <c r="A21" s="10">
        <v>21</v>
      </c>
      <c r="B21" s="130">
        <v>35065</v>
      </c>
      <c r="C21" s="17">
        <v>650</v>
      </c>
      <c r="D21" s="18">
        <f t="shared" si="1"/>
        <v>195</v>
      </c>
      <c r="E21" s="18">
        <f t="shared" si="5"/>
        <v>3.840909090909091</v>
      </c>
      <c r="F21" s="18">
        <v>43.3</v>
      </c>
      <c r="G21" s="18">
        <f t="shared" si="6"/>
        <v>249.46704545454546</v>
      </c>
      <c r="H21" s="18">
        <v>8</v>
      </c>
      <c r="I21" s="18">
        <f t="shared" si="10"/>
        <v>61.45454545454545</v>
      </c>
      <c r="J21" s="18">
        <f t="shared" si="7"/>
        <v>51.82026515151515</v>
      </c>
      <c r="K21" s="327">
        <f>D21+G21+I21+J21</f>
        <v>557.741856060606</v>
      </c>
      <c r="L21" s="312">
        <f>'INSS das Partes'!E25</f>
        <v>61.35160416666666</v>
      </c>
      <c r="M21" s="327">
        <f t="shared" si="0"/>
        <v>496.3902518939393</v>
      </c>
      <c r="N21" s="318">
        <f t="shared" si="9"/>
        <v>44.61934848484848</v>
      </c>
      <c r="O21" s="319">
        <f t="shared" si="3"/>
        <v>17.847739393939392</v>
      </c>
      <c r="P21" s="335">
        <f t="shared" si="4"/>
        <v>558.8573397727272</v>
      </c>
    </row>
    <row r="22" spans="1:16" ht="12.75">
      <c r="A22" s="10">
        <v>22</v>
      </c>
      <c r="B22" s="130">
        <v>35096</v>
      </c>
      <c r="C22" s="17">
        <v>650</v>
      </c>
      <c r="D22" s="18">
        <f t="shared" si="1"/>
        <v>195</v>
      </c>
      <c r="E22" s="18">
        <f t="shared" si="5"/>
        <v>3.840909090909091</v>
      </c>
      <c r="F22" s="18">
        <v>43.3</v>
      </c>
      <c r="G22" s="18">
        <f t="shared" si="6"/>
        <v>249.46704545454546</v>
      </c>
      <c r="H22" s="18">
        <v>8</v>
      </c>
      <c r="I22" s="18">
        <f t="shared" si="10"/>
        <v>61.45454545454545</v>
      </c>
      <c r="J22" s="18">
        <f t="shared" si="7"/>
        <v>51.82026515151515</v>
      </c>
      <c r="K22" s="327">
        <f t="shared" si="8"/>
        <v>557.741856060606</v>
      </c>
      <c r="L22" s="312">
        <f>'INSS das Partes'!E26</f>
        <v>61.35160416666666</v>
      </c>
      <c r="M22" s="327">
        <f t="shared" si="0"/>
        <v>496.3902518939393</v>
      </c>
      <c r="N22" s="318">
        <f t="shared" si="9"/>
        <v>44.61934848484848</v>
      </c>
      <c r="O22" s="319">
        <f t="shared" si="3"/>
        <v>17.847739393939392</v>
      </c>
      <c r="P22" s="335">
        <f t="shared" si="4"/>
        <v>558.8573397727272</v>
      </c>
    </row>
    <row r="23" spans="1:16" ht="12.75">
      <c r="A23" s="10">
        <v>23</v>
      </c>
      <c r="B23" s="130">
        <v>35125</v>
      </c>
      <c r="C23" s="17">
        <v>650</v>
      </c>
      <c r="D23" s="18">
        <f t="shared" si="1"/>
        <v>195</v>
      </c>
      <c r="E23" s="18">
        <f t="shared" si="5"/>
        <v>3.840909090909091</v>
      </c>
      <c r="F23" s="18">
        <v>43.3</v>
      </c>
      <c r="G23" s="18">
        <f t="shared" si="6"/>
        <v>249.46704545454546</v>
      </c>
      <c r="H23" s="18">
        <v>8</v>
      </c>
      <c r="I23" s="18">
        <f t="shared" si="10"/>
        <v>61.45454545454545</v>
      </c>
      <c r="J23" s="18">
        <f t="shared" si="7"/>
        <v>51.82026515151515</v>
      </c>
      <c r="K23" s="327">
        <f t="shared" si="8"/>
        <v>557.741856060606</v>
      </c>
      <c r="L23" s="312">
        <f>'INSS das Partes'!E27</f>
        <v>61.35160416666666</v>
      </c>
      <c r="M23" s="327">
        <f t="shared" si="0"/>
        <v>496.3902518939393</v>
      </c>
      <c r="N23" s="318">
        <f t="shared" si="9"/>
        <v>44.61934848484848</v>
      </c>
      <c r="O23" s="319">
        <f t="shared" si="3"/>
        <v>17.847739393939392</v>
      </c>
      <c r="P23" s="335">
        <f t="shared" si="4"/>
        <v>558.8573397727272</v>
      </c>
    </row>
    <row r="24" spans="1:16" ht="12.75">
      <c r="A24" s="10">
        <v>24</v>
      </c>
      <c r="B24" s="130">
        <v>35156</v>
      </c>
      <c r="C24" s="17">
        <v>650</v>
      </c>
      <c r="D24" s="18">
        <f t="shared" si="1"/>
        <v>195</v>
      </c>
      <c r="E24" s="18">
        <f t="shared" si="5"/>
        <v>3.840909090909091</v>
      </c>
      <c r="F24" s="18">
        <v>43.3</v>
      </c>
      <c r="G24" s="18">
        <f t="shared" si="6"/>
        <v>249.46704545454546</v>
      </c>
      <c r="H24" s="18">
        <v>8</v>
      </c>
      <c r="I24" s="18">
        <f t="shared" si="10"/>
        <v>61.45454545454545</v>
      </c>
      <c r="J24" s="18">
        <f t="shared" si="7"/>
        <v>51.82026515151515</v>
      </c>
      <c r="K24" s="327">
        <f t="shared" si="8"/>
        <v>557.741856060606</v>
      </c>
      <c r="L24" s="312">
        <f>'INSS das Partes'!E28</f>
        <v>61.35160416666666</v>
      </c>
      <c r="M24" s="327">
        <f t="shared" si="0"/>
        <v>496.3902518939393</v>
      </c>
      <c r="N24" s="318">
        <f t="shared" si="9"/>
        <v>44.61934848484848</v>
      </c>
      <c r="O24" s="319">
        <f t="shared" si="3"/>
        <v>17.847739393939392</v>
      </c>
      <c r="P24" s="335">
        <f t="shared" si="4"/>
        <v>558.8573397727272</v>
      </c>
    </row>
    <row r="25" spans="1:16" ht="12.75">
      <c r="A25" s="10">
        <v>25</v>
      </c>
      <c r="B25" s="130">
        <v>35186</v>
      </c>
      <c r="C25" s="17">
        <v>650</v>
      </c>
      <c r="D25" s="18">
        <f t="shared" si="1"/>
        <v>195</v>
      </c>
      <c r="E25" s="18">
        <f t="shared" si="5"/>
        <v>3.840909090909091</v>
      </c>
      <c r="F25" s="18">
        <v>43.3</v>
      </c>
      <c r="G25" s="18">
        <f t="shared" si="6"/>
        <v>249.46704545454546</v>
      </c>
      <c r="H25" s="18">
        <v>8</v>
      </c>
      <c r="I25" s="18">
        <f t="shared" si="10"/>
        <v>61.45454545454545</v>
      </c>
      <c r="J25" s="18">
        <f t="shared" si="7"/>
        <v>51.82026515151515</v>
      </c>
      <c r="K25" s="327">
        <f t="shared" si="8"/>
        <v>557.741856060606</v>
      </c>
      <c r="L25" s="312">
        <f>'INSS das Partes'!E29</f>
        <v>61.35160416666666</v>
      </c>
      <c r="M25" s="327">
        <f t="shared" si="0"/>
        <v>496.3902518939393</v>
      </c>
      <c r="N25" s="318">
        <f t="shared" si="9"/>
        <v>44.61934848484848</v>
      </c>
      <c r="O25" s="319">
        <f t="shared" si="3"/>
        <v>17.847739393939392</v>
      </c>
      <c r="P25" s="335">
        <f t="shared" si="4"/>
        <v>558.8573397727272</v>
      </c>
    </row>
    <row r="26" spans="1:16" ht="13.5" thickBot="1">
      <c r="A26" s="10">
        <v>26</v>
      </c>
      <c r="B26" s="132">
        <v>35217</v>
      </c>
      <c r="C26" s="224">
        <v>650</v>
      </c>
      <c r="D26" s="225">
        <f t="shared" si="1"/>
        <v>195</v>
      </c>
      <c r="E26" s="225">
        <f t="shared" si="5"/>
        <v>3.840909090909091</v>
      </c>
      <c r="F26" s="225">
        <v>43.3</v>
      </c>
      <c r="G26" s="225">
        <f t="shared" si="6"/>
        <v>249.46704545454546</v>
      </c>
      <c r="H26" s="225">
        <v>8</v>
      </c>
      <c r="I26" s="225">
        <f t="shared" si="10"/>
        <v>61.45454545454545</v>
      </c>
      <c r="J26" s="18">
        <f t="shared" si="7"/>
        <v>51.82026515151515</v>
      </c>
      <c r="K26" s="327">
        <f t="shared" si="8"/>
        <v>557.741856060606</v>
      </c>
      <c r="L26" s="312">
        <f>'INSS das Partes'!E30</f>
        <v>61.35160416666666</v>
      </c>
      <c r="M26" s="330">
        <f t="shared" si="0"/>
        <v>496.3902518939393</v>
      </c>
      <c r="N26" s="320">
        <f t="shared" si="9"/>
        <v>44.61934848484848</v>
      </c>
      <c r="O26" s="321">
        <f t="shared" si="3"/>
        <v>17.847739393939392</v>
      </c>
      <c r="P26" s="336">
        <f t="shared" si="4"/>
        <v>558.8573397727272</v>
      </c>
    </row>
    <row r="27" spans="1:16" ht="13.5" thickBot="1">
      <c r="A27" s="10">
        <v>27</v>
      </c>
      <c r="B27" s="223" t="s">
        <v>46</v>
      </c>
      <c r="C27" s="226"/>
      <c r="D27" s="227"/>
      <c r="E27" s="227"/>
      <c r="F27" s="228"/>
      <c r="G27" s="229"/>
      <c r="H27" s="228"/>
      <c r="I27" s="229"/>
      <c r="J27" s="230"/>
      <c r="K27" s="328">
        <f aca="true" t="shared" si="11" ref="K27:P27">SUM(K8:K26)</f>
        <v>8683.611666666664</v>
      </c>
      <c r="L27" s="313">
        <f t="shared" si="11"/>
        <v>889.550208810606</v>
      </c>
      <c r="M27" s="331">
        <f t="shared" si="11"/>
        <v>7794.061457856061</v>
      </c>
      <c r="N27" s="322">
        <f t="shared" si="11"/>
        <v>694.6889333333334</v>
      </c>
      <c r="O27" s="323">
        <f t="shared" si="11"/>
        <v>277.87557333333325</v>
      </c>
      <c r="P27" s="337">
        <f t="shared" si="11"/>
        <v>8766.625964522726</v>
      </c>
    </row>
    <row r="28" spans="1:16" s="39" customFormat="1" ht="12.75">
      <c r="A28" s="338"/>
      <c r="B28" s="35"/>
      <c r="C28" s="35"/>
      <c r="D28" s="35"/>
      <c r="E28" s="35"/>
      <c r="F28" s="36"/>
      <c r="G28" s="37"/>
      <c r="H28" s="36"/>
      <c r="I28" s="37"/>
      <c r="J28" s="37"/>
      <c r="K28" s="38"/>
      <c r="L28" s="220"/>
      <c r="M28" s="38"/>
      <c r="N28" s="38"/>
      <c r="O28" s="38"/>
      <c r="P28" s="339"/>
    </row>
    <row r="29" spans="1:16" ht="12.75">
      <c r="A29" s="340"/>
      <c r="B29" s="19" t="s">
        <v>23</v>
      </c>
      <c r="C29" s="20"/>
      <c r="D29" s="20"/>
      <c r="E29" s="20"/>
      <c r="F29" s="214"/>
      <c r="G29" s="214"/>
      <c r="H29" s="214"/>
      <c r="I29" s="214"/>
      <c r="J29" s="214"/>
      <c r="K29" s="19" t="s">
        <v>23</v>
      </c>
      <c r="L29" s="221"/>
      <c r="M29" s="264" t="s">
        <v>22</v>
      </c>
      <c r="N29" s="22" t="s">
        <v>22</v>
      </c>
      <c r="O29" s="21"/>
      <c r="P29" s="341"/>
    </row>
    <row r="30" spans="1:16" ht="12.75">
      <c r="A30" s="340"/>
      <c r="B30" s="267"/>
      <c r="C30" s="267"/>
      <c r="D30" s="267"/>
      <c r="E30" s="20"/>
      <c r="F30" s="214"/>
      <c r="G30" s="214"/>
      <c r="H30" s="214"/>
      <c r="I30" s="214"/>
      <c r="J30" s="214"/>
      <c r="K30" s="21"/>
      <c r="L30" s="80"/>
      <c r="M30" s="21"/>
      <c r="N30" s="21"/>
      <c r="O30" s="21"/>
      <c r="P30" s="341"/>
    </row>
    <row r="31" spans="1:16" ht="12.75">
      <c r="A31" s="340"/>
      <c r="B31" s="267" t="s">
        <v>115</v>
      </c>
      <c r="C31" s="267"/>
      <c r="D31" s="267"/>
      <c r="E31" s="20"/>
      <c r="F31" s="214"/>
      <c r="G31" s="214"/>
      <c r="H31" s="214"/>
      <c r="I31" s="214"/>
      <c r="J31" s="214"/>
      <c r="K31" s="22" t="s">
        <v>61</v>
      </c>
      <c r="L31" s="342"/>
      <c r="M31" s="21"/>
      <c r="N31" s="21"/>
      <c r="O31" s="22"/>
      <c r="P31" s="341"/>
    </row>
    <row r="32" spans="1:16" ht="12.75">
      <c r="A32" s="340"/>
      <c r="B32" s="33" t="s">
        <v>116</v>
      </c>
      <c r="C32" s="343"/>
      <c r="D32" s="20"/>
      <c r="E32" s="20"/>
      <c r="F32" s="214"/>
      <c r="G32" s="214"/>
      <c r="H32" s="214"/>
      <c r="I32" s="214"/>
      <c r="J32" s="214"/>
      <c r="K32" s="22" t="s">
        <v>62</v>
      </c>
      <c r="L32" s="342"/>
      <c r="M32" s="21"/>
      <c r="N32" s="21"/>
      <c r="O32" s="22"/>
      <c r="P32" s="341"/>
    </row>
    <row r="33" spans="1:16" ht="12.75">
      <c r="A33" s="340"/>
      <c r="B33" s="22" t="s">
        <v>47</v>
      </c>
      <c r="C33" s="20"/>
      <c r="D33" s="20"/>
      <c r="E33" s="20"/>
      <c r="F33" s="214"/>
      <c r="G33" s="214"/>
      <c r="H33" s="214"/>
      <c r="I33" s="214"/>
      <c r="J33" s="214"/>
      <c r="K33" s="22" t="s">
        <v>142</v>
      </c>
      <c r="L33" s="342"/>
      <c r="M33" s="21"/>
      <c r="N33" s="21"/>
      <c r="O33" s="22"/>
      <c r="P33" s="341"/>
    </row>
    <row r="34" spans="1:16" ht="12.75">
      <c r="A34" s="340"/>
      <c r="B34" s="344" t="s">
        <v>48</v>
      </c>
      <c r="C34" s="20"/>
      <c r="D34" s="20"/>
      <c r="E34" s="20"/>
      <c r="F34" s="214"/>
      <c r="G34" s="214"/>
      <c r="H34" s="214"/>
      <c r="I34" s="214"/>
      <c r="J34" s="214"/>
      <c r="K34" s="22" t="s">
        <v>141</v>
      </c>
      <c r="L34" s="342"/>
      <c r="M34" s="21"/>
      <c r="N34" s="21"/>
      <c r="O34" s="22"/>
      <c r="P34" s="341"/>
    </row>
    <row r="35" spans="1:16" ht="12.75">
      <c r="A35" s="340"/>
      <c r="B35" s="22" t="s">
        <v>144</v>
      </c>
      <c r="C35" s="20"/>
      <c r="D35" s="20"/>
      <c r="E35" s="20"/>
      <c r="F35" s="214"/>
      <c r="G35" s="214"/>
      <c r="H35" s="214"/>
      <c r="I35" s="214"/>
      <c r="J35" s="214"/>
      <c r="K35" s="22" t="s">
        <v>143</v>
      </c>
      <c r="L35" s="342"/>
      <c r="M35" s="21"/>
      <c r="N35" s="21"/>
      <c r="O35" s="21"/>
      <c r="P35" s="341"/>
    </row>
    <row r="36" spans="1:16" ht="13.5" thickBot="1">
      <c r="A36" s="345"/>
      <c r="B36" s="346" t="s">
        <v>49</v>
      </c>
      <c r="C36" s="347"/>
      <c r="D36" s="347"/>
      <c r="E36" s="347"/>
      <c r="F36" s="348"/>
      <c r="G36" s="348"/>
      <c r="H36" s="348"/>
      <c r="I36" s="348"/>
      <c r="J36" s="348"/>
      <c r="K36" s="346"/>
      <c r="L36" s="349"/>
      <c r="M36" s="15"/>
      <c r="N36" s="15"/>
      <c r="O36" s="15"/>
      <c r="P36" s="16"/>
    </row>
    <row r="37" spans="2:12" ht="12.75">
      <c r="B37" s="24" t="s">
        <v>22</v>
      </c>
      <c r="C37" s="23"/>
      <c r="D37" s="23"/>
      <c r="E37" s="23"/>
      <c r="F37" s="215"/>
      <c r="G37" s="215"/>
      <c r="H37" s="215"/>
      <c r="I37" s="215"/>
      <c r="J37" s="215"/>
      <c r="K37" s="24"/>
      <c r="L37" s="222"/>
    </row>
  </sheetData>
  <mergeCells count="2">
    <mergeCell ref="B31:D31"/>
    <mergeCell ref="B30:D30"/>
  </mergeCells>
  <printOptions horizontalCentered="1" verticalCentered="1"/>
  <pageMargins left="0.31496062992125984" right="0.3937007874015748" top="0.3937007874015748" bottom="0.3937007874015748" header="0.31496062992125984" footer="0.31496062992125984"/>
  <pageSetup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M39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9.28125" style="0" bestFit="1" customWidth="1"/>
    <col min="5" max="5" width="9.28125" style="0" bestFit="1" customWidth="1"/>
    <col min="8" max="8" width="9.28125" style="0" bestFit="1" customWidth="1"/>
    <col min="9" max="9" width="10.421875" style="0" bestFit="1" customWidth="1"/>
    <col min="10" max="10" width="13.421875" style="0" customWidth="1"/>
    <col min="12" max="13" width="11.00390625" style="0" customWidth="1"/>
  </cols>
  <sheetData>
    <row r="1" spans="1:13" ht="12.75">
      <c r="A1" s="364">
        <v>1</v>
      </c>
      <c r="B1" s="181" t="str">
        <f>'Planilha Inicial'!B1</f>
        <v>PROCESSO:33/96 DA  33a.VT/RJ</v>
      </c>
      <c r="C1" s="190"/>
      <c r="D1" s="190"/>
      <c r="E1" s="190"/>
      <c r="F1" s="190"/>
      <c r="G1" s="190"/>
      <c r="H1" s="190"/>
      <c r="I1" s="190"/>
      <c r="J1" s="168"/>
      <c r="K1" s="168"/>
      <c r="L1" s="168"/>
      <c r="M1" s="169"/>
    </row>
    <row r="2" spans="1:13" ht="12.75">
      <c r="A2" s="365">
        <v>2</v>
      </c>
      <c r="B2" s="182" t="str">
        <f>'Planilha Inicial'!B2</f>
        <v>RTE: JOÃO DA SILVA</v>
      </c>
      <c r="C2" s="51"/>
      <c r="D2" s="51"/>
      <c r="E2" s="51"/>
      <c r="F2" s="51"/>
      <c r="G2" s="51"/>
      <c r="H2" s="51"/>
      <c r="I2" s="51"/>
      <c r="J2" s="3"/>
      <c r="K2" s="3"/>
      <c r="L2" s="3"/>
      <c r="M2" s="199"/>
    </row>
    <row r="3" spans="1:13" ht="13.5" thickBot="1">
      <c r="A3" s="365">
        <v>3</v>
      </c>
      <c r="B3" s="183" t="str">
        <f>'Planilha Inicial'!B3</f>
        <v>RDA: DELTA LTDA.</v>
      </c>
      <c r="C3" s="180"/>
      <c r="D3" s="180"/>
      <c r="E3" s="180"/>
      <c r="F3" s="180"/>
      <c r="G3" s="180"/>
      <c r="H3" s="180"/>
      <c r="I3" s="180"/>
      <c r="J3" s="5"/>
      <c r="K3" s="5"/>
      <c r="L3" s="5"/>
      <c r="M3" s="170"/>
    </row>
    <row r="4" spans="1:13" ht="13.5" customHeight="1" thickBot="1">
      <c r="A4" s="365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99"/>
    </row>
    <row r="5" spans="1:13" ht="13.5" thickBot="1">
      <c r="A5" s="365">
        <v>5</v>
      </c>
      <c r="B5" s="265" t="s">
        <v>108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8"/>
    </row>
    <row r="6" spans="1:13" ht="13.5" customHeight="1" thickBot="1">
      <c r="A6" s="365">
        <v>6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199"/>
    </row>
    <row r="7" spans="1:13" ht="13.5" thickBot="1">
      <c r="A7" s="365">
        <v>7</v>
      </c>
      <c r="B7" s="265" t="s">
        <v>50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8"/>
    </row>
    <row r="8" spans="1:13" s="3" customFormat="1" ht="12.75" customHeight="1" thickBot="1">
      <c r="A8" s="365">
        <v>8</v>
      </c>
      <c r="M8" s="199"/>
    </row>
    <row r="9" spans="1:13" ht="12" customHeight="1" thickBot="1">
      <c r="A9" s="365">
        <v>9</v>
      </c>
      <c r="B9" s="191" t="s">
        <v>0</v>
      </c>
      <c r="C9" s="192" t="s">
        <v>1</v>
      </c>
      <c r="D9" s="192" t="s">
        <v>2</v>
      </c>
      <c r="E9" s="191" t="s">
        <v>129</v>
      </c>
      <c r="F9" s="191" t="s">
        <v>4</v>
      </c>
      <c r="G9" s="191" t="s">
        <v>5</v>
      </c>
      <c r="H9" s="191" t="s">
        <v>131</v>
      </c>
      <c r="I9" s="191" t="s">
        <v>132</v>
      </c>
      <c r="J9" s="40" t="s">
        <v>8</v>
      </c>
      <c r="K9" s="40" t="s">
        <v>133</v>
      </c>
      <c r="L9" s="40" t="s">
        <v>134</v>
      </c>
      <c r="M9" s="42" t="s">
        <v>135</v>
      </c>
    </row>
    <row r="10" spans="1:13" s="172" customFormat="1" ht="11.25">
      <c r="A10" s="365">
        <v>10</v>
      </c>
      <c r="B10" s="200" t="s">
        <v>30</v>
      </c>
      <c r="C10" s="200" t="s">
        <v>51</v>
      </c>
      <c r="D10" s="200" t="s">
        <v>52</v>
      </c>
      <c r="E10" s="354" t="s">
        <v>20</v>
      </c>
      <c r="F10" s="200" t="s">
        <v>53</v>
      </c>
      <c r="G10" s="200" t="s">
        <v>52</v>
      </c>
      <c r="H10" s="350" t="s">
        <v>54</v>
      </c>
      <c r="I10" s="200" t="s">
        <v>46</v>
      </c>
      <c r="J10" s="193" t="s">
        <v>107</v>
      </c>
      <c r="K10" s="193" t="s">
        <v>40</v>
      </c>
      <c r="L10" s="193" t="s">
        <v>130</v>
      </c>
      <c r="M10" s="193" t="s">
        <v>33</v>
      </c>
    </row>
    <row r="11" spans="1:13" s="172" customFormat="1" ht="12" thickBot="1">
      <c r="A11" s="365">
        <v>11</v>
      </c>
      <c r="B11" s="200" t="s">
        <v>31</v>
      </c>
      <c r="C11" s="200" t="s">
        <v>55</v>
      </c>
      <c r="D11" s="200" t="s">
        <v>127</v>
      </c>
      <c r="E11" s="354" t="s">
        <v>128</v>
      </c>
      <c r="F11" s="200" t="s">
        <v>56</v>
      </c>
      <c r="G11" s="200" t="s">
        <v>127</v>
      </c>
      <c r="H11" s="350" t="s">
        <v>128</v>
      </c>
      <c r="I11" s="200" t="s">
        <v>57</v>
      </c>
      <c r="J11" s="209" t="s">
        <v>86</v>
      </c>
      <c r="K11" s="200" t="s">
        <v>87</v>
      </c>
      <c r="L11" s="253">
        <v>1.21</v>
      </c>
      <c r="M11" s="200" t="s">
        <v>88</v>
      </c>
    </row>
    <row r="12" spans="1:13" s="172" customFormat="1" ht="11.25">
      <c r="A12" s="365">
        <v>12</v>
      </c>
      <c r="B12" s="194">
        <f>'Planilha Inicial'!B8</f>
        <v>34714</v>
      </c>
      <c r="C12" s="195">
        <f>'Planilha Inicial'!K8</f>
        <v>368.9676893939394</v>
      </c>
      <c r="D12" s="196">
        <v>0.0977</v>
      </c>
      <c r="E12" s="355">
        <f>C12*D12</f>
        <v>36.04814325378788</v>
      </c>
      <c r="F12" s="195">
        <f>'Planilha Inicial'!K8</f>
        <v>368.9676893939394</v>
      </c>
      <c r="G12" s="196">
        <v>0.278</v>
      </c>
      <c r="H12" s="351">
        <f>F12*G12</f>
        <v>102.57301765151516</v>
      </c>
      <c r="I12" s="206">
        <f>E12+H12</f>
        <v>138.62116090530304</v>
      </c>
      <c r="J12" s="255" t="str">
        <f>'Atualização c-Inc. IR'!C11</f>
        <v>    2,156092599</v>
      </c>
      <c r="K12" s="258">
        <f>I12*J12</f>
        <v>298.88005909271203</v>
      </c>
      <c r="L12" s="206">
        <f>K12*121%</f>
        <v>361.64487150218156</v>
      </c>
      <c r="M12" s="261">
        <f>K12+L12</f>
        <v>660.5249305948936</v>
      </c>
    </row>
    <row r="13" spans="1:13" s="172" customFormat="1" ht="11.25">
      <c r="A13" s="365">
        <v>13</v>
      </c>
      <c r="B13" s="197">
        <f>'Planilha Inicial'!B9</f>
        <v>34731</v>
      </c>
      <c r="C13" s="113">
        <f>'Planilha Inicial'!K9</f>
        <v>368.9676893939394</v>
      </c>
      <c r="D13" s="198">
        <v>0.0977</v>
      </c>
      <c r="E13" s="356">
        <f>C13*D13</f>
        <v>36.04814325378788</v>
      </c>
      <c r="F13" s="113">
        <f>'Planilha Inicial'!K9</f>
        <v>368.9676893939394</v>
      </c>
      <c r="G13" s="198">
        <v>0.278</v>
      </c>
      <c r="H13" s="352">
        <f>F13*G13</f>
        <v>102.57301765151516</v>
      </c>
      <c r="I13" s="171">
        <f>E13+H13</f>
        <v>138.62116090530304</v>
      </c>
      <c r="J13" s="256" t="str">
        <f>'Atualização c-Inc. IR'!C12</f>
        <v>    2,111719047</v>
      </c>
      <c r="K13" s="259">
        <f>I13*J13</f>
        <v>292.72894580098017</v>
      </c>
      <c r="L13" s="171">
        <f>K13*121%</f>
        <v>354.202024419186</v>
      </c>
      <c r="M13" s="262">
        <f>K13+L13</f>
        <v>646.9309702201662</v>
      </c>
    </row>
    <row r="14" spans="1:13" s="172" customFormat="1" ht="11.25">
      <c r="A14" s="365">
        <v>14</v>
      </c>
      <c r="B14" s="197">
        <f>'Planilha Inicial'!B10</f>
        <v>34759</v>
      </c>
      <c r="C14" s="113">
        <f>'Planilha Inicial'!K10</f>
        <v>368.9676893939394</v>
      </c>
      <c r="D14" s="198">
        <v>0.0977</v>
      </c>
      <c r="E14" s="356">
        <f aca="true" t="shared" si="0" ref="E14:E31">C14*D14</f>
        <v>36.04814325378788</v>
      </c>
      <c r="F14" s="113">
        <f>'Planilha Inicial'!K10</f>
        <v>368.9676893939394</v>
      </c>
      <c r="G14" s="198">
        <v>0.278</v>
      </c>
      <c r="H14" s="352">
        <f aca="true" t="shared" si="1" ref="H14:H31">F14*G14</f>
        <v>102.57301765151516</v>
      </c>
      <c r="I14" s="171">
        <f aca="true" t="shared" si="2" ref="I14:I31">E14+H14</f>
        <v>138.62116090530304</v>
      </c>
      <c r="J14" s="256" t="str">
        <f>'Atualização c-Inc. IR'!C13</f>
        <v>    2,073298748</v>
      </c>
      <c r="K14" s="259">
        <f aca="true" t="shared" si="3" ref="K14:K31">I14*J14</f>
        <v>287.40307935127134</v>
      </c>
      <c r="L14" s="171">
        <f aca="true" t="shared" si="4" ref="L14:L31">K14*121%</f>
        <v>347.7577260150383</v>
      </c>
      <c r="M14" s="262">
        <f aca="true" t="shared" si="5" ref="M14:M31">K14+L14</f>
        <v>635.1608053663097</v>
      </c>
    </row>
    <row r="15" spans="1:13" s="172" customFormat="1" ht="11.25">
      <c r="A15" s="365">
        <v>15</v>
      </c>
      <c r="B15" s="197">
        <f>'Planilha Inicial'!B11</f>
        <v>34790</v>
      </c>
      <c r="C15" s="113">
        <f>'Planilha Inicial'!K11</f>
        <v>368.9676893939394</v>
      </c>
      <c r="D15" s="198">
        <v>0.0977</v>
      </c>
      <c r="E15" s="356">
        <f t="shared" si="0"/>
        <v>36.04814325378788</v>
      </c>
      <c r="F15" s="113">
        <f>'Planilha Inicial'!K11</f>
        <v>368.9676893939394</v>
      </c>
      <c r="G15" s="198">
        <v>0.278</v>
      </c>
      <c r="H15" s="352">
        <f t="shared" si="1"/>
        <v>102.57301765151516</v>
      </c>
      <c r="I15" s="171">
        <f t="shared" si="2"/>
        <v>138.62116090530304</v>
      </c>
      <c r="J15" s="256" t="str">
        <f>'Atualização c-Inc. IR'!C14</f>
        <v>    2,026688955</v>
      </c>
      <c r="K15" s="259">
        <f t="shared" si="3"/>
        <v>280.9419757360555</v>
      </c>
      <c r="L15" s="171">
        <f t="shared" si="4"/>
        <v>339.93979064062717</v>
      </c>
      <c r="M15" s="262">
        <f t="shared" si="5"/>
        <v>620.8817663766827</v>
      </c>
    </row>
    <row r="16" spans="1:13" s="172" customFormat="1" ht="11.25">
      <c r="A16" s="365">
        <v>16</v>
      </c>
      <c r="B16" s="197">
        <f>'Planilha Inicial'!B12</f>
        <v>34820</v>
      </c>
      <c r="C16" s="113">
        <f>'Planilha Inicial'!K12</f>
        <v>429.03219696969694</v>
      </c>
      <c r="D16" s="198">
        <v>0.0977</v>
      </c>
      <c r="E16" s="356">
        <f t="shared" si="0"/>
        <v>41.91644564393939</v>
      </c>
      <c r="F16" s="113">
        <f>'Planilha Inicial'!K12</f>
        <v>429.03219696969694</v>
      </c>
      <c r="G16" s="198">
        <v>0.278</v>
      </c>
      <c r="H16" s="352">
        <f t="shared" si="1"/>
        <v>119.27095075757576</v>
      </c>
      <c r="I16" s="171">
        <f t="shared" si="2"/>
        <v>161.18739640151514</v>
      </c>
      <c r="J16" s="256" t="str">
        <f>'Atualização c-Inc. IR'!C15</f>
        <v>    1,958783797</v>
      </c>
      <c r="K16" s="259">
        <f t="shared" si="3"/>
        <v>315.731260351904</v>
      </c>
      <c r="L16" s="171">
        <f t="shared" si="4"/>
        <v>382.0348250258038</v>
      </c>
      <c r="M16" s="262">
        <f t="shared" si="5"/>
        <v>697.7660853777078</v>
      </c>
    </row>
    <row r="17" spans="1:13" s="172" customFormat="1" ht="11.25">
      <c r="A17" s="365">
        <v>17</v>
      </c>
      <c r="B17" s="197">
        <f>'Planilha Inicial'!B13</f>
        <v>34851</v>
      </c>
      <c r="C17" s="113">
        <f>'Planilha Inicial'!K13</f>
        <v>429.03219696969694</v>
      </c>
      <c r="D17" s="198">
        <v>0.0977</v>
      </c>
      <c r="E17" s="356">
        <f t="shared" si="0"/>
        <v>41.91644564393939</v>
      </c>
      <c r="F17" s="113">
        <f>'Planilha Inicial'!K13</f>
        <v>429.03219696969694</v>
      </c>
      <c r="G17" s="198">
        <v>0.278</v>
      </c>
      <c r="H17" s="352">
        <f t="shared" si="1"/>
        <v>119.27095075757576</v>
      </c>
      <c r="I17" s="171">
        <f t="shared" si="2"/>
        <v>161.18739640151514</v>
      </c>
      <c r="J17" s="256" t="str">
        <f>'Atualização c-Inc. IR'!C16</f>
        <v>    1,897180451</v>
      </c>
      <c r="K17" s="259">
        <f t="shared" si="3"/>
        <v>305.80157740054227</v>
      </c>
      <c r="L17" s="171">
        <f t="shared" si="4"/>
        <v>370.01990865465615</v>
      </c>
      <c r="M17" s="262">
        <f t="shared" si="5"/>
        <v>675.8214860551984</v>
      </c>
    </row>
    <row r="18" spans="1:13" s="172" customFormat="1" ht="11.25">
      <c r="A18" s="365">
        <v>18</v>
      </c>
      <c r="B18" s="197">
        <f>'Planilha Inicial'!B14</f>
        <v>34881</v>
      </c>
      <c r="C18" s="113">
        <f>'Planilha Inicial'!K14</f>
        <v>429.03219696969694</v>
      </c>
      <c r="D18" s="198">
        <v>0.0977</v>
      </c>
      <c r="E18" s="356">
        <f t="shared" si="0"/>
        <v>41.91644564393939</v>
      </c>
      <c r="F18" s="113">
        <f>'Planilha Inicial'!K14</f>
        <v>429.03219696969694</v>
      </c>
      <c r="G18" s="198">
        <v>0.278</v>
      </c>
      <c r="H18" s="352">
        <f t="shared" si="1"/>
        <v>119.27095075757576</v>
      </c>
      <c r="I18" s="171">
        <f t="shared" si="2"/>
        <v>161.18739640151514</v>
      </c>
      <c r="J18" s="256" t="str">
        <f>'Atualização c-Inc. IR'!C17</f>
        <v>    1,843958283</v>
      </c>
      <c r="K18" s="259">
        <f t="shared" si="3"/>
        <v>297.2228347097783</v>
      </c>
      <c r="L18" s="171">
        <f t="shared" si="4"/>
        <v>359.6396299988317</v>
      </c>
      <c r="M18" s="262">
        <f t="shared" si="5"/>
        <v>656.86246470861</v>
      </c>
    </row>
    <row r="19" spans="1:13" s="172" customFormat="1" ht="11.25">
      <c r="A19" s="365">
        <v>19</v>
      </c>
      <c r="B19" s="197">
        <f>'Planilha Inicial'!B15</f>
        <v>34912</v>
      </c>
      <c r="C19" s="113">
        <f>'Planilha Inicial'!K15</f>
        <v>429.03219696969694</v>
      </c>
      <c r="D19" s="198">
        <v>0.0977</v>
      </c>
      <c r="E19" s="356">
        <f t="shared" si="0"/>
        <v>41.91644564393939</v>
      </c>
      <c r="F19" s="113">
        <f>'Planilha Inicial'!K15</f>
        <v>429.03219696969694</v>
      </c>
      <c r="G19" s="198">
        <v>0.278</v>
      </c>
      <c r="H19" s="352">
        <f t="shared" si="1"/>
        <v>119.27095075757576</v>
      </c>
      <c r="I19" s="171">
        <f t="shared" si="2"/>
        <v>161.18739640151514</v>
      </c>
      <c r="J19" s="256" t="str">
        <f>'Atualização c-Inc. IR'!C18</f>
        <v>    1,790415896</v>
      </c>
      <c r="K19" s="259">
        <f t="shared" si="3"/>
        <v>288.59247675212595</v>
      </c>
      <c r="L19" s="171">
        <f t="shared" si="4"/>
        <v>349.1968968700724</v>
      </c>
      <c r="M19" s="262">
        <f t="shared" si="5"/>
        <v>637.7893736221984</v>
      </c>
    </row>
    <row r="20" spans="1:13" s="172" customFormat="1" ht="11.25">
      <c r="A20" s="365">
        <v>20</v>
      </c>
      <c r="B20" s="197">
        <f>'Planilha Inicial'!B16</f>
        <v>34943</v>
      </c>
      <c r="C20" s="113">
        <f>'Planilha Inicial'!K16</f>
        <v>429.03219696969694</v>
      </c>
      <c r="D20" s="198">
        <v>0.0977</v>
      </c>
      <c r="E20" s="356">
        <f t="shared" si="0"/>
        <v>41.91644564393939</v>
      </c>
      <c r="F20" s="113">
        <f>'Planilha Inicial'!K16</f>
        <v>429.03219696969694</v>
      </c>
      <c r="G20" s="198">
        <v>0.278</v>
      </c>
      <c r="H20" s="352">
        <f t="shared" si="1"/>
        <v>119.27095075757576</v>
      </c>
      <c r="I20" s="171">
        <f t="shared" si="2"/>
        <v>161.18739640151514</v>
      </c>
      <c r="J20" s="256" t="str">
        <f>'Atualização c-Inc. IR'!C19</f>
        <v>    1,744968199</v>
      </c>
      <c r="K20" s="259">
        <f t="shared" si="3"/>
        <v>281.266880800251</v>
      </c>
      <c r="L20" s="171">
        <f t="shared" si="4"/>
        <v>340.3329257683037</v>
      </c>
      <c r="M20" s="262">
        <f t="shared" si="5"/>
        <v>621.5998065685546</v>
      </c>
    </row>
    <row r="21" spans="1:13" s="172" customFormat="1" ht="11.25">
      <c r="A21" s="365">
        <v>21</v>
      </c>
      <c r="B21" s="197">
        <f>'Planilha Inicial'!B17</f>
        <v>34973</v>
      </c>
      <c r="C21" s="113">
        <f>'Planilha Inicial'!K17</f>
        <v>429.03219696969694</v>
      </c>
      <c r="D21" s="198">
        <v>0.0977</v>
      </c>
      <c r="E21" s="356">
        <f t="shared" si="0"/>
        <v>41.91644564393939</v>
      </c>
      <c r="F21" s="113">
        <f>'Planilha Inicial'!K17</f>
        <v>429.03219696969694</v>
      </c>
      <c r="G21" s="198">
        <v>0.278</v>
      </c>
      <c r="H21" s="352">
        <f t="shared" si="1"/>
        <v>119.27095075757576</v>
      </c>
      <c r="I21" s="171">
        <f t="shared" si="2"/>
        <v>161.18739640151514</v>
      </c>
      <c r="J21" s="256" t="str">
        <f>'Atualização c-Inc. IR'!C20</f>
        <v>    1,711771808</v>
      </c>
      <c r="K21" s="259">
        <f t="shared" si="3"/>
        <v>275.91604096503426</v>
      </c>
      <c r="L21" s="171">
        <f t="shared" si="4"/>
        <v>333.85840956769147</v>
      </c>
      <c r="M21" s="262">
        <f t="shared" si="5"/>
        <v>609.7744505327257</v>
      </c>
    </row>
    <row r="22" spans="1:13" s="172" customFormat="1" ht="11.25">
      <c r="A22" s="365">
        <v>22</v>
      </c>
      <c r="B22" s="197">
        <f>'Planilha Inicial'!B18</f>
        <v>35004</v>
      </c>
      <c r="C22" s="113">
        <f>'Planilha Inicial'!K18</f>
        <v>429.03219696969694</v>
      </c>
      <c r="D22" s="198">
        <v>0.0977</v>
      </c>
      <c r="E22" s="356">
        <f t="shared" si="0"/>
        <v>41.91644564393939</v>
      </c>
      <c r="F22" s="113">
        <f>'Planilha Inicial'!K18</f>
        <v>429.03219696969694</v>
      </c>
      <c r="G22" s="198">
        <v>0.278</v>
      </c>
      <c r="H22" s="352">
        <f t="shared" si="1"/>
        <v>119.27095075757576</v>
      </c>
      <c r="I22" s="171">
        <f t="shared" si="2"/>
        <v>161.18739640151514</v>
      </c>
      <c r="J22" s="256" t="str">
        <f>'Atualização c-Inc. IR'!C21</f>
        <v>    1,683919775</v>
      </c>
      <c r="K22" s="259">
        <f t="shared" si="3"/>
        <v>271.4266442812752</v>
      </c>
      <c r="L22" s="171">
        <f t="shared" si="4"/>
        <v>328.42623958034295</v>
      </c>
      <c r="M22" s="262">
        <f t="shared" si="5"/>
        <v>599.8528838616181</v>
      </c>
    </row>
    <row r="23" spans="1:13" s="172" customFormat="1" ht="11.25">
      <c r="A23" s="365">
        <v>23</v>
      </c>
      <c r="B23" s="197">
        <f>'Planilha Inicial'!B19</f>
        <v>35034</v>
      </c>
      <c r="C23" s="113">
        <f>'Planilha Inicial'!K19</f>
        <v>429.03219696969694</v>
      </c>
      <c r="D23" s="198">
        <v>0.0977</v>
      </c>
      <c r="E23" s="356">
        <f t="shared" si="0"/>
        <v>41.91644564393939</v>
      </c>
      <c r="F23" s="113">
        <f>'Planilha Inicial'!K19</f>
        <v>429.03219696969694</v>
      </c>
      <c r="G23" s="198">
        <v>0.278</v>
      </c>
      <c r="H23" s="352">
        <f t="shared" si="1"/>
        <v>119.27095075757576</v>
      </c>
      <c r="I23" s="171">
        <f t="shared" si="2"/>
        <v>161.18739640151514</v>
      </c>
      <c r="J23" s="256" t="str">
        <f>'Atualização c-Inc. IR'!C22</f>
        <v>    1,660036825</v>
      </c>
      <c r="K23" s="259">
        <f t="shared" si="3"/>
        <v>267.57701375238764</v>
      </c>
      <c r="L23" s="171">
        <f t="shared" si="4"/>
        <v>323.76818664038905</v>
      </c>
      <c r="M23" s="262">
        <f t="shared" si="5"/>
        <v>591.3452003927766</v>
      </c>
    </row>
    <row r="24" spans="1:13" s="172" customFormat="1" ht="11.25">
      <c r="A24" s="365">
        <v>24</v>
      </c>
      <c r="B24" s="197" t="str">
        <f>'Planilha Inicial'!B20</f>
        <v>13º/95</v>
      </c>
      <c r="C24" s="113">
        <f>'Planilha Inicial'!K20</f>
        <v>429.03219696969694</v>
      </c>
      <c r="D24" s="198">
        <v>0.0977</v>
      </c>
      <c r="E24" s="356">
        <f t="shared" si="0"/>
        <v>41.91644564393939</v>
      </c>
      <c r="F24" s="113">
        <f>'Planilha Inicial'!K20</f>
        <v>429.03219696969694</v>
      </c>
      <c r="G24" s="198">
        <v>0.278</v>
      </c>
      <c r="H24" s="352">
        <f t="shared" si="1"/>
        <v>119.27095075757576</v>
      </c>
      <c r="I24" s="171">
        <f t="shared" si="2"/>
        <v>161.18739640151514</v>
      </c>
      <c r="J24" s="256" t="str">
        <f>'Atualização c-Inc. IR'!C23</f>
        <v>    1,660036825</v>
      </c>
      <c r="K24" s="259">
        <f t="shared" si="3"/>
        <v>267.57701375238764</v>
      </c>
      <c r="L24" s="171">
        <f t="shared" si="4"/>
        <v>323.76818664038905</v>
      </c>
      <c r="M24" s="262">
        <f t="shared" si="5"/>
        <v>591.3452003927766</v>
      </c>
    </row>
    <row r="25" spans="1:13" s="172" customFormat="1" ht="11.25">
      <c r="A25" s="365">
        <v>25</v>
      </c>
      <c r="B25" s="197">
        <f>'Planilha Inicial'!B21</f>
        <v>35065</v>
      </c>
      <c r="C25" s="113">
        <f>'Planilha Inicial'!K21</f>
        <v>557.741856060606</v>
      </c>
      <c r="D25" s="198">
        <v>0.11</v>
      </c>
      <c r="E25" s="356">
        <f t="shared" si="0"/>
        <v>61.35160416666666</v>
      </c>
      <c r="F25" s="113">
        <f>'Planilha Inicial'!K21</f>
        <v>557.741856060606</v>
      </c>
      <c r="G25" s="198">
        <v>0.278</v>
      </c>
      <c r="H25" s="352">
        <f t="shared" si="1"/>
        <v>155.05223598484847</v>
      </c>
      <c r="I25" s="171">
        <f t="shared" si="2"/>
        <v>216.4038401515151</v>
      </c>
      <c r="J25" s="256" t="str">
        <f>'Atualização c-Inc. IR'!C24</f>
        <v>    1,638086467</v>
      </c>
      <c r="K25" s="259">
        <f t="shared" si="3"/>
        <v>354.4882019590281</v>
      </c>
      <c r="L25" s="171">
        <f t="shared" si="4"/>
        <v>428.930724370424</v>
      </c>
      <c r="M25" s="262">
        <f t="shared" si="5"/>
        <v>783.4189263294521</v>
      </c>
    </row>
    <row r="26" spans="1:13" s="172" customFormat="1" ht="11.25">
      <c r="A26" s="365">
        <v>26</v>
      </c>
      <c r="B26" s="197">
        <f>'Planilha Inicial'!B22</f>
        <v>35096</v>
      </c>
      <c r="C26" s="113">
        <f>'Planilha Inicial'!K22</f>
        <v>557.741856060606</v>
      </c>
      <c r="D26" s="198">
        <v>0.11</v>
      </c>
      <c r="E26" s="356">
        <f t="shared" si="0"/>
        <v>61.35160416666666</v>
      </c>
      <c r="F26" s="113">
        <f>'Planilha Inicial'!K22</f>
        <v>557.741856060606</v>
      </c>
      <c r="G26" s="198">
        <v>0.278</v>
      </c>
      <c r="H26" s="352">
        <f t="shared" si="1"/>
        <v>155.05223598484847</v>
      </c>
      <c r="I26" s="171">
        <f t="shared" si="2"/>
        <v>216.4038401515151</v>
      </c>
      <c r="J26" s="256" t="str">
        <f>'Atualização c-Inc. IR'!C25</f>
        <v>    1,617821633</v>
      </c>
      <c r="K26" s="259">
        <f t="shared" si="3"/>
        <v>350.1028140613951</v>
      </c>
      <c r="L26" s="171">
        <f t="shared" si="4"/>
        <v>423.6244050142881</v>
      </c>
      <c r="M26" s="262">
        <f t="shared" si="5"/>
        <v>773.7272190756833</v>
      </c>
    </row>
    <row r="27" spans="1:13" s="172" customFormat="1" ht="11.25">
      <c r="A27" s="365">
        <v>27</v>
      </c>
      <c r="B27" s="197">
        <f>'Planilha Inicial'!B23</f>
        <v>35125</v>
      </c>
      <c r="C27" s="113">
        <f>'Planilha Inicial'!K23</f>
        <v>557.741856060606</v>
      </c>
      <c r="D27" s="198">
        <v>0.11</v>
      </c>
      <c r="E27" s="356">
        <f t="shared" si="0"/>
        <v>61.35160416666666</v>
      </c>
      <c r="F27" s="113">
        <f>'Planilha Inicial'!K23</f>
        <v>557.741856060606</v>
      </c>
      <c r="G27" s="198">
        <v>0.278</v>
      </c>
      <c r="H27" s="352">
        <f t="shared" si="1"/>
        <v>155.05223598484847</v>
      </c>
      <c r="I27" s="171">
        <f t="shared" si="2"/>
        <v>216.4038401515151</v>
      </c>
      <c r="J27" s="256" t="str">
        <f>'Atualização c-Inc. IR'!C26</f>
        <v>    1,602398547</v>
      </c>
      <c r="K27" s="259">
        <f t="shared" si="3"/>
        <v>346.76519902400804</v>
      </c>
      <c r="L27" s="171">
        <f t="shared" si="4"/>
        <v>419.5858908190497</v>
      </c>
      <c r="M27" s="262">
        <f t="shared" si="5"/>
        <v>766.3510898430577</v>
      </c>
    </row>
    <row r="28" spans="1:13" s="172" customFormat="1" ht="11.25">
      <c r="A28" s="365">
        <v>28</v>
      </c>
      <c r="B28" s="197">
        <f>'Planilha Inicial'!B24</f>
        <v>35156</v>
      </c>
      <c r="C28" s="113">
        <f>'Planilha Inicial'!K24</f>
        <v>557.741856060606</v>
      </c>
      <c r="D28" s="198">
        <v>0.11</v>
      </c>
      <c r="E28" s="356">
        <f t="shared" si="0"/>
        <v>61.35160416666666</v>
      </c>
      <c r="F28" s="113">
        <f>'Planilha Inicial'!K24</f>
        <v>557.741856060606</v>
      </c>
      <c r="G28" s="198">
        <v>0.278</v>
      </c>
      <c r="H28" s="352">
        <f t="shared" si="1"/>
        <v>155.05223598484847</v>
      </c>
      <c r="I28" s="171">
        <f t="shared" si="2"/>
        <v>216.4038401515151</v>
      </c>
      <c r="J28" s="256" t="str">
        <f>'Atualização c-Inc. IR'!C27</f>
        <v>    1,589461916</v>
      </c>
      <c r="K28" s="259">
        <f t="shared" si="3"/>
        <v>343.96566239698495</v>
      </c>
      <c r="L28" s="171">
        <f t="shared" si="4"/>
        <v>416.1984515003518</v>
      </c>
      <c r="M28" s="262">
        <f t="shared" si="5"/>
        <v>760.1641138973367</v>
      </c>
    </row>
    <row r="29" spans="1:13" s="172" customFormat="1" ht="11.25">
      <c r="A29" s="365">
        <v>29</v>
      </c>
      <c r="B29" s="197">
        <f>'Planilha Inicial'!B25</f>
        <v>35186</v>
      </c>
      <c r="C29" s="113">
        <f>'Planilha Inicial'!K25</f>
        <v>557.741856060606</v>
      </c>
      <c r="D29" s="198">
        <v>0.11</v>
      </c>
      <c r="E29" s="356">
        <f t="shared" si="0"/>
        <v>61.35160416666666</v>
      </c>
      <c r="F29" s="113">
        <f>'Planilha Inicial'!K25</f>
        <v>557.741856060606</v>
      </c>
      <c r="G29" s="198">
        <v>0.278</v>
      </c>
      <c r="H29" s="352">
        <f t="shared" si="1"/>
        <v>155.05223598484847</v>
      </c>
      <c r="I29" s="171">
        <f t="shared" si="2"/>
        <v>216.4038401515151</v>
      </c>
      <c r="J29" s="256" t="str">
        <f>'Atualização c-Inc. IR'!C28</f>
        <v>    1,579044957</v>
      </c>
      <c r="K29" s="259">
        <f t="shared" si="3"/>
        <v>341.71139246668406</v>
      </c>
      <c r="L29" s="171">
        <f t="shared" si="4"/>
        <v>413.4707848846877</v>
      </c>
      <c r="M29" s="262">
        <f t="shared" si="5"/>
        <v>755.1821773513718</v>
      </c>
    </row>
    <row r="30" spans="1:13" s="172" customFormat="1" ht="11.25">
      <c r="A30" s="365">
        <v>30</v>
      </c>
      <c r="B30" s="197">
        <f>'Planilha Inicial'!B26</f>
        <v>35217</v>
      </c>
      <c r="C30" s="113">
        <f>'Planilha Inicial'!K26</f>
        <v>557.741856060606</v>
      </c>
      <c r="D30" s="198">
        <v>0.11</v>
      </c>
      <c r="E30" s="356">
        <f t="shared" si="0"/>
        <v>61.35160416666666</v>
      </c>
      <c r="F30" s="113">
        <f>'Planilha Inicial'!K26</f>
        <v>557.741856060606</v>
      </c>
      <c r="G30" s="198">
        <v>0.278</v>
      </c>
      <c r="H30" s="352">
        <f t="shared" si="1"/>
        <v>155.05223598484847</v>
      </c>
      <c r="I30" s="171">
        <f t="shared" si="2"/>
        <v>216.4038401515151</v>
      </c>
      <c r="J30" s="256" t="str">
        <f>'Atualização c-Inc. IR'!C29</f>
        <v>    1,569801963</v>
      </c>
      <c r="K30" s="259">
        <f t="shared" si="3"/>
        <v>339.71117307058665</v>
      </c>
      <c r="L30" s="171">
        <f t="shared" si="4"/>
        <v>411.05051941540984</v>
      </c>
      <c r="M30" s="262">
        <f t="shared" si="5"/>
        <v>750.7616924859965</v>
      </c>
    </row>
    <row r="31" spans="1:13" s="172" customFormat="1" ht="12" thickBot="1">
      <c r="A31" s="365">
        <v>31</v>
      </c>
      <c r="B31" s="246" t="s">
        <v>32</v>
      </c>
      <c r="C31" s="175">
        <f>Àpurações!F20</f>
        <v>278.87092803030305</v>
      </c>
      <c r="D31" s="247">
        <v>0.08</v>
      </c>
      <c r="E31" s="357">
        <f t="shared" si="0"/>
        <v>22.309674242424244</v>
      </c>
      <c r="F31" s="175">
        <f>C31</f>
        <v>278.87092803030305</v>
      </c>
      <c r="G31" s="198">
        <v>0.278</v>
      </c>
      <c r="H31" s="352">
        <f t="shared" si="1"/>
        <v>77.52611799242426</v>
      </c>
      <c r="I31" s="171">
        <f t="shared" si="2"/>
        <v>99.8357922348485</v>
      </c>
      <c r="J31" s="257" t="str">
        <f>'Atualização c-Inc. IR'!C30</f>
        <v>    1,569801963</v>
      </c>
      <c r="K31" s="260">
        <f t="shared" si="3"/>
        <v>156.7224226279253</v>
      </c>
      <c r="L31" s="207">
        <f t="shared" si="4"/>
        <v>189.6341313797896</v>
      </c>
      <c r="M31" s="263">
        <f t="shared" si="5"/>
        <v>346.3565540077149</v>
      </c>
    </row>
    <row r="32" spans="1:13" ht="13.5" thickBot="1">
      <c r="A32" s="365">
        <v>32</v>
      </c>
      <c r="B32" s="248" t="s">
        <v>58</v>
      </c>
      <c r="C32" s="269"/>
      <c r="D32" s="269"/>
      <c r="E32" s="358">
        <f>SUM(E12:E31)</f>
        <v>911.8598830530302</v>
      </c>
      <c r="F32" s="249"/>
      <c r="G32" s="249"/>
      <c r="H32" s="353">
        <f>SUM(H12:H31)</f>
        <v>2491.570161325757</v>
      </c>
      <c r="I32" s="41">
        <f>SUM(I12:I31)</f>
        <v>3403.4300443787865</v>
      </c>
      <c r="J32" s="250"/>
      <c r="K32" s="208"/>
      <c r="L32" s="208"/>
      <c r="M32" s="201">
        <f>SUM(M12:M31)</f>
        <v>13181.61719706083</v>
      </c>
    </row>
    <row r="33" spans="1:13" ht="4.5" customHeight="1" thickBot="1">
      <c r="A33" s="70"/>
      <c r="B33" s="366"/>
      <c r="C33" s="3"/>
      <c r="D33" s="3"/>
      <c r="E33" s="3"/>
      <c r="F33" s="3"/>
      <c r="G33" s="3"/>
      <c r="H33" s="3"/>
      <c r="I33" s="3"/>
      <c r="J33" s="3"/>
      <c r="K33" s="3"/>
      <c r="L33" s="3"/>
      <c r="M33" s="199"/>
    </row>
    <row r="34" spans="1:13" ht="13.5" thickBot="1">
      <c r="A34" s="367" t="s">
        <v>22</v>
      </c>
      <c r="B34" s="359" t="s">
        <v>136</v>
      </c>
      <c r="C34" s="3"/>
      <c r="D34" s="3"/>
      <c r="E34" s="3"/>
      <c r="F34" s="239"/>
      <c r="G34" s="40"/>
      <c r="H34" s="6"/>
      <c r="I34" s="254">
        <v>0.01157612</v>
      </c>
      <c r="J34" s="270">
        <f>M32/I34</f>
        <v>1138690.4417940406</v>
      </c>
      <c r="K34" s="271"/>
      <c r="L34" s="271"/>
      <c r="M34" s="272"/>
    </row>
    <row r="35" spans="1:13" ht="12.75">
      <c r="A35" s="70"/>
      <c r="B35" s="360" t="s">
        <v>137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199"/>
    </row>
    <row r="36" spans="1:13" ht="12.75">
      <c r="A36" s="70"/>
      <c r="B36" s="361" t="s">
        <v>138</v>
      </c>
      <c r="C36" s="3"/>
      <c r="D36" s="3"/>
      <c r="E36" s="3"/>
      <c r="F36" s="3"/>
      <c r="G36" s="3"/>
      <c r="H36" s="90"/>
      <c r="I36" s="3"/>
      <c r="J36" s="3"/>
      <c r="K36" s="3"/>
      <c r="L36" s="3"/>
      <c r="M36" s="199"/>
    </row>
    <row r="37" spans="1:13" ht="13.5" thickBot="1">
      <c r="A37" s="70"/>
      <c r="B37" s="362" t="s">
        <v>139</v>
      </c>
      <c r="C37" s="3"/>
      <c r="D37" s="3"/>
      <c r="E37" s="3"/>
      <c r="F37" s="3"/>
      <c r="G37" s="3"/>
      <c r="H37" s="90"/>
      <c r="I37" s="3"/>
      <c r="J37" s="3"/>
      <c r="K37" s="3"/>
      <c r="L37" s="3"/>
      <c r="M37" s="199"/>
    </row>
    <row r="38" spans="1:13" ht="13.5" thickBot="1">
      <c r="A38" s="70"/>
      <c r="B38" s="363" t="s">
        <v>140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199"/>
    </row>
    <row r="39" spans="1:13" ht="13.5" thickBot="1">
      <c r="A39" s="36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70"/>
    </row>
  </sheetData>
  <mergeCells count="4">
    <mergeCell ref="B5:M5"/>
    <mergeCell ref="B7:M7"/>
    <mergeCell ref="C32:D32"/>
    <mergeCell ref="J34:M3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2"/>
  <headerFooter alignWithMargins="0">
    <oddHeader>&amp;CINSS
Empresa/Empregado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7">
      <selection activeCell="A1" sqref="A1:F43"/>
    </sheetView>
  </sheetViews>
  <sheetFormatPr defaultColWidth="9.140625" defaultRowHeight="12.75"/>
  <cols>
    <col min="1" max="1" width="15.8515625" style="0" customWidth="1"/>
    <col min="2" max="2" width="11.140625" style="0" customWidth="1"/>
    <col min="3" max="3" width="12.00390625" style="0" customWidth="1"/>
    <col min="4" max="5" width="12.421875" style="0" customWidth="1"/>
    <col min="6" max="6" width="19.57421875" style="0" customWidth="1"/>
    <col min="8" max="8" width="11.8515625" style="0" customWidth="1"/>
    <col min="9" max="9" width="11.00390625" style="0" bestFit="1" customWidth="1"/>
  </cols>
  <sheetData>
    <row r="1" spans="1:6" ht="12.75">
      <c r="A1" s="165" t="str">
        <f>'Planilha Inicial'!B1</f>
        <v>PROCESSO:33/96 DA  33a.VT/RJ</v>
      </c>
      <c r="B1" s="100"/>
      <c r="C1" s="100"/>
      <c r="D1" s="100"/>
      <c r="E1" s="100"/>
      <c r="F1" s="101"/>
    </row>
    <row r="2" spans="1:6" ht="12.75">
      <c r="A2" s="166" t="str">
        <f>'Planilha Inicial'!B2</f>
        <v>RTE: JOÃO DA SILVA</v>
      </c>
      <c r="B2" s="102"/>
      <c r="C2" s="102"/>
      <c r="D2" s="102"/>
      <c r="E2" s="102"/>
      <c r="F2" s="103"/>
    </row>
    <row r="3" spans="1:6" ht="13.5" thickBot="1">
      <c r="A3" s="167" t="str">
        <f>'Planilha Inicial'!B3</f>
        <v>RDA: DELTA LTDA.</v>
      </c>
      <c r="B3" s="104"/>
      <c r="C3" s="104"/>
      <c r="D3" s="104"/>
      <c r="E3" s="104"/>
      <c r="F3" s="105"/>
    </row>
    <row r="4" spans="1:9" ht="13.5" thickBot="1">
      <c r="A4" s="106"/>
      <c r="B4" s="107"/>
      <c r="C4" s="107"/>
      <c r="D4" s="107"/>
      <c r="E4" s="107"/>
      <c r="F4" s="98"/>
      <c r="H4" s="231" t="s">
        <v>117</v>
      </c>
      <c r="I4" s="232">
        <v>35308</v>
      </c>
    </row>
    <row r="5" spans="1:9" ht="13.5" thickBot="1">
      <c r="A5" s="273" t="s">
        <v>82</v>
      </c>
      <c r="B5" s="274"/>
      <c r="C5" s="274"/>
      <c r="D5" s="274"/>
      <c r="E5" s="274"/>
      <c r="F5" s="275"/>
      <c r="H5" s="231" t="s">
        <v>118</v>
      </c>
      <c r="I5" s="232">
        <v>38990</v>
      </c>
    </row>
    <row r="6" spans="1:9" ht="13.5" thickBot="1">
      <c r="A6" s="276"/>
      <c r="B6" s="277"/>
      <c r="C6" s="277"/>
      <c r="D6" s="277"/>
      <c r="E6" s="277"/>
      <c r="F6" s="278"/>
      <c r="H6" s="231" t="s">
        <v>119</v>
      </c>
      <c r="I6" s="233">
        <f>DAYS360(I4,I5)/3000</f>
        <v>1.21</v>
      </c>
    </row>
    <row r="7" spans="1:9" ht="13.5" thickBot="1">
      <c r="A7" s="279" t="s">
        <v>348</v>
      </c>
      <c r="B7" s="280"/>
      <c r="C7" s="280"/>
      <c r="D7" s="280"/>
      <c r="E7" s="280"/>
      <c r="F7" s="281"/>
      <c r="H7" s="231" t="s">
        <v>120</v>
      </c>
      <c r="I7" s="231" t="s">
        <v>121</v>
      </c>
    </row>
    <row r="8" spans="1:6" ht="13.5" thickBot="1">
      <c r="A8" s="276"/>
      <c r="B8" s="277"/>
      <c r="C8" s="277"/>
      <c r="D8" s="277"/>
      <c r="E8" s="277"/>
      <c r="F8" s="278"/>
    </row>
    <row r="9" spans="1:6" ht="12.75">
      <c r="A9" s="161" t="s">
        <v>30</v>
      </c>
      <c r="B9" s="162" t="s">
        <v>40</v>
      </c>
      <c r="C9" s="399" t="s">
        <v>83</v>
      </c>
      <c r="D9" s="163" t="s">
        <v>84</v>
      </c>
      <c r="E9" s="398" t="s">
        <v>85</v>
      </c>
      <c r="F9" s="164" t="s">
        <v>33</v>
      </c>
    </row>
    <row r="10" spans="1:9" ht="12.75">
      <c r="A10" s="108" t="s">
        <v>31</v>
      </c>
      <c r="B10" s="109" t="s">
        <v>45</v>
      </c>
      <c r="C10" s="400" t="s">
        <v>86</v>
      </c>
      <c r="D10" s="111" t="s">
        <v>87</v>
      </c>
      <c r="E10" s="403" t="s">
        <v>59</v>
      </c>
      <c r="F10" s="110" t="s">
        <v>88</v>
      </c>
      <c r="H10" s="235">
        <v>35308</v>
      </c>
      <c r="I10" s="235">
        <v>35308</v>
      </c>
    </row>
    <row r="11" spans="1:9" ht="12.75">
      <c r="A11" s="112">
        <f>'Planilha Inicial'!B8</f>
        <v>34714</v>
      </c>
      <c r="B11" s="113">
        <f>'Planilha Inicial'!M8</f>
        <v>332.9195461401515</v>
      </c>
      <c r="C11" s="401" t="str">
        <f>Indice!D8</f>
        <v>    2,156092599</v>
      </c>
      <c r="D11" s="113">
        <f>B11*C11</f>
        <v>717.8053694952197</v>
      </c>
      <c r="E11" s="404">
        <f>D11*121%</f>
        <v>868.5444970892158</v>
      </c>
      <c r="F11" s="114">
        <f>D11+E11</f>
        <v>1586.3498665844354</v>
      </c>
      <c r="H11" s="235">
        <v>38868</v>
      </c>
      <c r="I11" s="235">
        <v>38017</v>
      </c>
    </row>
    <row r="12" spans="1:6" ht="12.75">
      <c r="A12" s="112">
        <f>'Planilha Inicial'!B9</f>
        <v>34731</v>
      </c>
      <c r="B12" s="113">
        <f>'Planilha Inicial'!M9</f>
        <v>332.9195461401515</v>
      </c>
      <c r="C12" s="401" t="str">
        <f>Indice!D9</f>
        <v>    2,111719047</v>
      </c>
      <c r="D12" s="113">
        <f aca="true" t="shared" si="0" ref="D12:D34">B12*C12</f>
        <v>703.0325467027532</v>
      </c>
      <c r="E12" s="404">
        <f aca="true" t="shared" si="1" ref="E12:E34">D12*121%</f>
        <v>850.6693815103313</v>
      </c>
      <c r="F12" s="114">
        <f aca="true" t="shared" si="2" ref="F12:F34">D12+E12</f>
        <v>1553.7019282130846</v>
      </c>
    </row>
    <row r="13" spans="1:9" ht="12.75">
      <c r="A13" s="112">
        <f>'Planilha Inicial'!B10</f>
        <v>34759</v>
      </c>
      <c r="B13" s="113">
        <f>'Planilha Inicial'!M10</f>
        <v>332.9195461401515</v>
      </c>
      <c r="C13" s="401" t="str">
        <f>Indice!D10</f>
        <v>    2,073298748</v>
      </c>
      <c r="D13" s="113">
        <f t="shared" si="0"/>
        <v>690.2416781971044</v>
      </c>
      <c r="E13" s="404">
        <f t="shared" si="1"/>
        <v>835.1924306184964</v>
      </c>
      <c r="F13" s="114">
        <f t="shared" si="2"/>
        <v>1525.4341088156007</v>
      </c>
      <c r="H13" s="236">
        <f>DAYS360(H10,H11)/3000</f>
        <v>1.17</v>
      </c>
      <c r="I13" s="238">
        <f>DAYS360(I10,I11)/3000</f>
        <v>0.89</v>
      </c>
    </row>
    <row r="14" spans="1:6" ht="12.75">
      <c r="A14" s="112">
        <f>'Planilha Inicial'!B11</f>
        <v>34790</v>
      </c>
      <c r="B14" s="113">
        <f>'Planilha Inicial'!M11</f>
        <v>332.9195461401515</v>
      </c>
      <c r="C14" s="401" t="str">
        <f>Indice!D11</f>
        <v>    2,026688955</v>
      </c>
      <c r="D14" s="113">
        <f t="shared" si="0"/>
        <v>674.7243670658579</v>
      </c>
      <c r="E14" s="404">
        <f t="shared" si="1"/>
        <v>816.416484149688</v>
      </c>
      <c r="F14" s="114">
        <f t="shared" si="2"/>
        <v>1491.1408512155458</v>
      </c>
    </row>
    <row r="15" spans="1:6" ht="12.75">
      <c r="A15" s="112">
        <f>'Planilha Inicial'!B12</f>
        <v>34820</v>
      </c>
      <c r="B15" s="113">
        <f>'Planilha Inicial'!M12</f>
        <v>387.11575132575757</v>
      </c>
      <c r="C15" s="401" t="str">
        <f>Indice!D12</f>
        <v>    1,958783797</v>
      </c>
      <c r="D15" s="113">
        <f t="shared" si="0"/>
        <v>758.2760612603752</v>
      </c>
      <c r="E15" s="404">
        <f t="shared" si="1"/>
        <v>917.514034125054</v>
      </c>
      <c r="F15" s="114">
        <f t="shared" si="2"/>
        <v>1675.7900953854291</v>
      </c>
    </row>
    <row r="16" spans="1:6" ht="12.75">
      <c r="A16" s="112">
        <f>'Planilha Inicial'!B13</f>
        <v>34851</v>
      </c>
      <c r="B16" s="113">
        <f>'Planilha Inicial'!M13</f>
        <v>387.11575132575757</v>
      </c>
      <c r="C16" s="401" t="str">
        <f>Indice!D13</f>
        <v>    1,897180451</v>
      </c>
      <c r="D16" s="113">
        <f t="shared" si="0"/>
        <v>734.4284356894046</v>
      </c>
      <c r="E16" s="404">
        <f t="shared" si="1"/>
        <v>888.6584071841796</v>
      </c>
      <c r="F16" s="114">
        <f t="shared" si="2"/>
        <v>1623.0868428735844</v>
      </c>
    </row>
    <row r="17" spans="1:8" ht="12.75">
      <c r="A17" s="112">
        <f>'Planilha Inicial'!B14</f>
        <v>34881</v>
      </c>
      <c r="B17" s="113">
        <f>'Planilha Inicial'!M14</f>
        <v>387.11575132575757</v>
      </c>
      <c r="C17" s="401" t="str">
        <f>Indice!D14</f>
        <v>    1,843958283</v>
      </c>
      <c r="D17" s="113">
        <f t="shared" si="0"/>
        <v>713.8252961368989</v>
      </c>
      <c r="E17" s="404">
        <f t="shared" si="1"/>
        <v>863.7286083256477</v>
      </c>
      <c r="F17" s="114">
        <f t="shared" si="2"/>
        <v>1577.5539044625466</v>
      </c>
      <c r="H17" s="237" t="s">
        <v>22</v>
      </c>
    </row>
    <row r="18" spans="1:6" ht="12.75">
      <c r="A18" s="112">
        <f>'Planilha Inicial'!B15</f>
        <v>34912</v>
      </c>
      <c r="B18" s="113">
        <f>'Planilha Inicial'!M15</f>
        <v>387.11575132575757</v>
      </c>
      <c r="C18" s="401" t="str">
        <f>Indice!D15</f>
        <v>    1,790415896</v>
      </c>
      <c r="D18" s="113">
        <f t="shared" si="0"/>
        <v>693.0981947656195</v>
      </c>
      <c r="E18" s="404">
        <f t="shared" si="1"/>
        <v>838.6488156663995</v>
      </c>
      <c r="F18" s="114">
        <f t="shared" si="2"/>
        <v>1531.7470104320191</v>
      </c>
    </row>
    <row r="19" spans="1:6" ht="12.75">
      <c r="A19" s="112">
        <f>'Planilha Inicial'!B16</f>
        <v>34943</v>
      </c>
      <c r="B19" s="113">
        <f>'Planilha Inicial'!M16</f>
        <v>387.11575132575757</v>
      </c>
      <c r="C19" s="401" t="str">
        <f>Indice!D16</f>
        <v>    1,744968199</v>
      </c>
      <c r="D19" s="113">
        <f t="shared" si="0"/>
        <v>675.5046753954391</v>
      </c>
      <c r="E19" s="404">
        <f t="shared" si="1"/>
        <v>817.3606572284813</v>
      </c>
      <c r="F19" s="114">
        <f t="shared" si="2"/>
        <v>1492.8653326239205</v>
      </c>
    </row>
    <row r="20" spans="1:6" ht="12.75">
      <c r="A20" s="112">
        <f>'Planilha Inicial'!B17</f>
        <v>34973</v>
      </c>
      <c r="B20" s="113">
        <f>'Planilha Inicial'!M17</f>
        <v>387.11575132575757</v>
      </c>
      <c r="C20" s="401" t="str">
        <f>Indice!D17</f>
        <v>    1,711771808</v>
      </c>
      <c r="D20" s="113">
        <f t="shared" si="0"/>
        <v>662.6538295521705</v>
      </c>
      <c r="E20" s="404">
        <f t="shared" si="1"/>
        <v>801.8111337581263</v>
      </c>
      <c r="F20" s="114">
        <f t="shared" si="2"/>
        <v>1464.4649633102968</v>
      </c>
    </row>
    <row r="21" spans="1:6" ht="12.75">
      <c r="A21" s="112">
        <f>'Planilha Inicial'!B18</f>
        <v>35004</v>
      </c>
      <c r="B21" s="113">
        <f>'Planilha Inicial'!M18</f>
        <v>387.11575132575757</v>
      </c>
      <c r="C21" s="401" t="str">
        <f>Indice!D18</f>
        <v>    1,683919775</v>
      </c>
      <c r="D21" s="113">
        <f t="shared" si="0"/>
        <v>651.8718688714256</v>
      </c>
      <c r="E21" s="404">
        <f t="shared" si="1"/>
        <v>788.7649613344249</v>
      </c>
      <c r="F21" s="114">
        <f t="shared" si="2"/>
        <v>1440.6368302058504</v>
      </c>
    </row>
    <row r="22" spans="1:6" ht="12" customHeight="1">
      <c r="A22" s="112">
        <f>'Planilha Inicial'!B19</f>
        <v>35034</v>
      </c>
      <c r="B22" s="113">
        <f>'Planilha Inicial'!M19</f>
        <v>387.11575132575757</v>
      </c>
      <c r="C22" s="401" t="str">
        <f>Indice!D19</f>
        <v>    1,660036825</v>
      </c>
      <c r="D22" s="113">
        <f t="shared" si="0"/>
        <v>642.6264027383002</v>
      </c>
      <c r="E22" s="404">
        <f t="shared" si="1"/>
        <v>777.5779473133432</v>
      </c>
      <c r="F22" s="114">
        <f t="shared" si="2"/>
        <v>1420.2043500516434</v>
      </c>
    </row>
    <row r="23" spans="1:6" ht="12.75">
      <c r="A23" s="112" t="str">
        <f>'Planilha Inicial'!B20</f>
        <v>13º/95</v>
      </c>
      <c r="B23" s="113">
        <f>'Planilha Inicial'!M20</f>
        <v>387.11575132575757</v>
      </c>
      <c r="C23" s="402" t="str">
        <f>C22</f>
        <v>    1,660036825</v>
      </c>
      <c r="D23" s="113">
        <f t="shared" si="0"/>
        <v>642.6264027383002</v>
      </c>
      <c r="E23" s="404">
        <f t="shared" si="1"/>
        <v>777.5779473133432</v>
      </c>
      <c r="F23" s="115">
        <f t="shared" si="2"/>
        <v>1420.2043500516434</v>
      </c>
    </row>
    <row r="24" spans="1:6" ht="12.75">
      <c r="A24" s="112">
        <f>'Planilha Inicial'!B21</f>
        <v>35065</v>
      </c>
      <c r="B24" s="113">
        <f>'Planilha Inicial'!M21</f>
        <v>496.3902518939393</v>
      </c>
      <c r="C24" s="402" t="str">
        <f>Indice!E8</f>
        <v>    1,638086467</v>
      </c>
      <c r="D24" s="113">
        <f t="shared" si="0"/>
        <v>813.1301539781831</v>
      </c>
      <c r="E24" s="404">
        <f t="shared" si="1"/>
        <v>983.8874863136015</v>
      </c>
      <c r="F24" s="114">
        <f t="shared" si="2"/>
        <v>1797.0176402917846</v>
      </c>
    </row>
    <row r="25" spans="1:6" ht="12.75">
      <c r="A25" s="112">
        <f>'Planilha Inicial'!B22</f>
        <v>35096</v>
      </c>
      <c r="B25" s="113">
        <f>'Planilha Inicial'!M22</f>
        <v>496.3902518939393</v>
      </c>
      <c r="C25" s="402" t="str">
        <f>Indice!E9</f>
        <v>    1,617821633</v>
      </c>
      <c r="D25" s="113">
        <f t="shared" si="0"/>
        <v>803.0708879243342</v>
      </c>
      <c r="E25" s="404">
        <f t="shared" si="1"/>
        <v>971.7157743884444</v>
      </c>
      <c r="F25" s="114">
        <f t="shared" si="2"/>
        <v>1774.7866623127786</v>
      </c>
    </row>
    <row r="26" spans="1:6" ht="12.75">
      <c r="A26" s="112">
        <f>'Planilha Inicial'!B23</f>
        <v>35125</v>
      </c>
      <c r="B26" s="113">
        <f>'Planilha Inicial'!M23</f>
        <v>496.3902518939393</v>
      </c>
      <c r="C26" s="402" t="str">
        <f>Indice!E10</f>
        <v>    1,602398547</v>
      </c>
      <c r="D26" s="113">
        <f t="shared" si="0"/>
        <v>795.4150183798123</v>
      </c>
      <c r="E26" s="404">
        <f t="shared" si="1"/>
        <v>962.4521722395729</v>
      </c>
      <c r="F26" s="114">
        <f t="shared" si="2"/>
        <v>1757.8671906193852</v>
      </c>
    </row>
    <row r="27" spans="1:6" ht="12.75">
      <c r="A27" s="112">
        <f>'Planilha Inicial'!B24</f>
        <v>35156</v>
      </c>
      <c r="B27" s="113">
        <f>'Planilha Inicial'!M24</f>
        <v>496.3902518939393</v>
      </c>
      <c r="C27" s="402" t="str">
        <f>Indice!E11</f>
        <v>    1,589461916</v>
      </c>
      <c r="D27" s="113">
        <f t="shared" si="0"/>
        <v>788.9934008590634</v>
      </c>
      <c r="E27" s="404">
        <f t="shared" si="1"/>
        <v>954.6820150394667</v>
      </c>
      <c r="F27" s="114">
        <f t="shared" si="2"/>
        <v>1743.67541589853</v>
      </c>
    </row>
    <row r="28" spans="1:6" ht="12.75">
      <c r="A28" s="112">
        <f>'Planilha Inicial'!B25</f>
        <v>35186</v>
      </c>
      <c r="B28" s="113">
        <f>'Planilha Inicial'!M25</f>
        <v>496.3902518939393</v>
      </c>
      <c r="C28" s="402" t="str">
        <f>Indice!E12</f>
        <v>    1,579044957</v>
      </c>
      <c r="D28" s="113">
        <f t="shared" si="0"/>
        <v>783.8225239570846</v>
      </c>
      <c r="E28" s="404">
        <f t="shared" si="1"/>
        <v>948.4252539880724</v>
      </c>
      <c r="F28" s="114">
        <f t="shared" si="2"/>
        <v>1732.247777945157</v>
      </c>
    </row>
    <row r="29" spans="1:6" ht="12.75">
      <c r="A29" s="112">
        <f>'Planilha Inicial'!B26</f>
        <v>35217</v>
      </c>
      <c r="B29" s="113">
        <f>'Planilha Inicial'!M26</f>
        <v>496.3902518939393</v>
      </c>
      <c r="C29" s="402" t="str">
        <f>Indice!E13</f>
        <v>    1,569801963</v>
      </c>
      <c r="D29" s="113">
        <f t="shared" si="0"/>
        <v>779.2343918371704</v>
      </c>
      <c r="E29" s="404">
        <f t="shared" si="1"/>
        <v>942.8736141229762</v>
      </c>
      <c r="F29" s="114">
        <f t="shared" si="2"/>
        <v>1722.1080059601466</v>
      </c>
    </row>
    <row r="30" spans="1:6" ht="12.75">
      <c r="A30" s="396" t="s">
        <v>111</v>
      </c>
      <c r="B30" s="113">
        <f>Àpurações!F20-Àpurações!F28</f>
        <v>256.5612537878788</v>
      </c>
      <c r="C30" s="402" t="str">
        <f>C29</f>
        <v>    1,569801963</v>
      </c>
      <c r="D30" s="113">
        <f t="shared" si="0"/>
        <v>402.7503598259533</v>
      </c>
      <c r="E30" s="404">
        <f t="shared" si="1"/>
        <v>487.3279353894035</v>
      </c>
      <c r="F30" s="116">
        <f t="shared" si="2"/>
        <v>890.0782952153568</v>
      </c>
    </row>
    <row r="31" spans="1:6" ht="12.75">
      <c r="A31" s="396" t="s">
        <v>110</v>
      </c>
      <c r="B31" s="113">
        <f>Àpurações!F21</f>
        <v>46.478488005050515</v>
      </c>
      <c r="C31" s="402" t="str">
        <f>C30</f>
        <v>    1,569801963</v>
      </c>
      <c r="D31" s="113">
        <f t="shared" si="0"/>
        <v>72.96202170760026</v>
      </c>
      <c r="E31" s="404">
        <f t="shared" si="1"/>
        <v>88.28404626619631</v>
      </c>
      <c r="F31" s="116">
        <f t="shared" si="2"/>
        <v>161.24606797379658</v>
      </c>
    </row>
    <row r="32" spans="1:6" ht="12.75">
      <c r="A32" s="397" t="s">
        <v>100</v>
      </c>
      <c r="B32" s="113">
        <f>Àpurações!F22</f>
        <v>557.7418560606061</v>
      </c>
      <c r="C32" s="402" t="str">
        <f>C31</f>
        <v>    1,569801963</v>
      </c>
      <c r="D32" s="113">
        <f t="shared" si="0"/>
        <v>875.5442604912029</v>
      </c>
      <c r="E32" s="404">
        <f t="shared" si="1"/>
        <v>1059.4085551943554</v>
      </c>
      <c r="F32" s="116">
        <f t="shared" si="2"/>
        <v>1934.952815685558</v>
      </c>
    </row>
    <row r="33" spans="1:6" ht="12.75">
      <c r="A33" s="396" t="s">
        <v>102</v>
      </c>
      <c r="B33" s="113">
        <f>Àpurações!F23</f>
        <v>325.34941603535367</v>
      </c>
      <c r="C33" s="402" t="str">
        <f>C32</f>
        <v>    1,569801963</v>
      </c>
      <c r="D33" s="113">
        <f t="shared" si="0"/>
        <v>510.73415195320183</v>
      </c>
      <c r="E33" s="404">
        <f t="shared" si="1"/>
        <v>617.9883238633741</v>
      </c>
      <c r="F33" s="116">
        <f t="shared" si="2"/>
        <v>1128.722475816576</v>
      </c>
    </row>
    <row r="34" spans="1:6" ht="12.75">
      <c r="A34" s="396" t="s">
        <v>72</v>
      </c>
      <c r="B34" s="113">
        <f>Àpurações!F24</f>
        <v>294.36375736532005</v>
      </c>
      <c r="C34" s="402" t="str">
        <f>C33</f>
        <v>    1,569801963</v>
      </c>
      <c r="D34" s="113">
        <f t="shared" si="0"/>
        <v>462.09280414813514</v>
      </c>
      <c r="E34" s="404">
        <f t="shared" si="1"/>
        <v>559.1322930192435</v>
      </c>
      <c r="F34" s="116">
        <f t="shared" si="2"/>
        <v>1021.2250971673786</v>
      </c>
    </row>
    <row r="35" spans="1:6" ht="12.75">
      <c r="A35" s="117" t="s">
        <v>75</v>
      </c>
      <c r="B35" s="118">
        <f>SUM(B11:B34)</f>
        <v>9274.556229110269</v>
      </c>
      <c r="C35" s="119"/>
      <c r="D35" s="120">
        <f>SUM(D11:D34)</f>
        <v>16048.465103670607</v>
      </c>
      <c r="E35" s="405">
        <f>SUM(E11:E34)</f>
        <v>19418.642775441433</v>
      </c>
      <c r="F35" s="121">
        <f>SUM(F11:F34)</f>
        <v>35467.10787911205</v>
      </c>
    </row>
    <row r="36" spans="1:6" ht="12.75">
      <c r="A36" s="117" t="s">
        <v>89</v>
      </c>
      <c r="B36" s="122">
        <v>0.275</v>
      </c>
      <c r="C36" s="203">
        <v>502.58</v>
      </c>
      <c r="D36" s="123">
        <f>F35</f>
        <v>35467.10787911205</v>
      </c>
      <c r="E36" s="119"/>
      <c r="F36" s="124">
        <f>(D36*B36)-C36</f>
        <v>9250.874666755815</v>
      </c>
    </row>
    <row r="37" spans="1:6" ht="12.75">
      <c r="A37" s="117" t="s">
        <v>90</v>
      </c>
      <c r="B37" s="119"/>
      <c r="C37" s="202"/>
      <c r="D37" s="119"/>
      <c r="E37" s="119"/>
      <c r="F37" s="125">
        <f>SUM(F35-F36)</f>
        <v>26216.233212356237</v>
      </c>
    </row>
    <row r="38" spans="1:6" ht="12.75">
      <c r="A38" s="117" t="s">
        <v>91</v>
      </c>
      <c r="B38" s="119"/>
      <c r="C38" s="185" t="s">
        <v>106</v>
      </c>
      <c r="D38" s="187">
        <v>0.01157612</v>
      </c>
      <c r="E38" s="119"/>
      <c r="F38" s="204">
        <f>F37/D38</f>
        <v>2264682.226199818</v>
      </c>
    </row>
    <row r="39" spans="1:6" ht="13.5" thickBot="1">
      <c r="A39" s="126" t="s">
        <v>92</v>
      </c>
      <c r="B39" s="127"/>
      <c r="C39" s="186" t="str">
        <f>C38</f>
        <v>Valor da TR</v>
      </c>
      <c r="D39" s="188">
        <f>D38</f>
        <v>0.01157612</v>
      </c>
      <c r="E39" s="127"/>
      <c r="F39" s="205">
        <f>F36/D39</f>
        <v>799134.3098340216</v>
      </c>
    </row>
    <row r="40" spans="1:6" ht="12.75">
      <c r="A40" s="288" t="s">
        <v>123</v>
      </c>
      <c r="B40" s="289"/>
      <c r="C40" s="289"/>
      <c r="D40" s="289"/>
      <c r="E40" s="289"/>
      <c r="F40" s="290"/>
    </row>
    <row r="41" spans="1:6" ht="12.75">
      <c r="A41" s="282" t="s">
        <v>112</v>
      </c>
      <c r="B41" s="283"/>
      <c r="C41" s="283"/>
      <c r="D41" s="283"/>
      <c r="E41" s="283"/>
      <c r="F41" s="284"/>
    </row>
    <row r="42" spans="1:6" ht="12.75">
      <c r="A42" s="282" t="s">
        <v>113</v>
      </c>
      <c r="B42" s="283"/>
      <c r="C42" s="283"/>
      <c r="D42" s="283"/>
      <c r="E42" s="283"/>
      <c r="F42" s="284"/>
    </row>
    <row r="43" spans="1:6" ht="13.5" thickBot="1">
      <c r="A43" s="285" t="s">
        <v>114</v>
      </c>
      <c r="B43" s="286"/>
      <c r="C43" s="286"/>
      <c r="D43" s="286"/>
      <c r="E43" s="286"/>
      <c r="F43" s="287"/>
    </row>
    <row r="46" ht="12.75">
      <c r="B46">
        <f>278.87-22.31</f>
        <v>256.56</v>
      </c>
    </row>
  </sheetData>
  <mergeCells count="8">
    <mergeCell ref="A41:F41"/>
    <mergeCell ref="A42:F42"/>
    <mergeCell ref="A43:F43"/>
    <mergeCell ref="A40:F40"/>
    <mergeCell ref="A5:F5"/>
    <mergeCell ref="A6:F6"/>
    <mergeCell ref="A7:F7"/>
    <mergeCell ref="A8:F8"/>
  </mergeCells>
  <printOptions horizontalCentered="1" verticalCentered="1"/>
  <pageMargins left="0.7874015748031497" right="0.7874015748031497" top="0.984251968503937" bottom="1.1023622047244095" header="0.5118110236220472" footer="0.5118110236220472"/>
  <pageSetup horizontalDpi="300" verticalDpi="300" orientation="portrait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36"/>
    </sheetView>
  </sheetViews>
  <sheetFormatPr defaultColWidth="9.140625" defaultRowHeight="12.75"/>
  <cols>
    <col min="3" max="3" width="23.00390625" style="0" customWidth="1"/>
    <col min="4" max="4" width="10.28125" style="0" customWidth="1"/>
    <col min="5" max="5" width="9.28125" style="0" customWidth="1"/>
    <col min="6" max="6" width="14.57421875" style="0" customWidth="1"/>
    <col min="9" max="9" width="9.28125" style="0" customWidth="1"/>
  </cols>
  <sheetData>
    <row r="1" spans="1:7" ht="18">
      <c r="A1" s="48" t="str">
        <f>'Planilha Inicial'!B1</f>
        <v>PROCESSO:33/96 DA  33a.VT/RJ</v>
      </c>
      <c r="B1" s="49"/>
      <c r="C1" s="49"/>
      <c r="D1" s="49"/>
      <c r="E1" s="49"/>
      <c r="F1" s="50"/>
      <c r="G1" s="50"/>
    </row>
    <row r="2" spans="1:7" ht="18">
      <c r="A2" s="52" t="str">
        <f>'Planilha Inicial'!B2</f>
        <v>RTE: JOÃO DA SILVA</v>
      </c>
      <c r="B2" s="53"/>
      <c r="C2" s="53"/>
      <c r="D2" s="53"/>
      <c r="E2" s="53"/>
      <c r="F2" s="54"/>
      <c r="G2" s="54"/>
    </row>
    <row r="3" spans="1:7" ht="18.75" thickBot="1">
      <c r="A3" s="55" t="str">
        <f>'Planilha Inicial'!B3</f>
        <v>RDA: DELTA LTDA.</v>
      </c>
      <c r="B3" s="56"/>
      <c r="C3" s="56"/>
      <c r="D3" s="56"/>
      <c r="E3" s="56"/>
      <c r="F3" s="57"/>
      <c r="G3" s="54"/>
    </row>
    <row r="4" spans="1:7" ht="6" customHeight="1" thickBot="1">
      <c r="A4" s="58" t="s">
        <v>22</v>
      </c>
      <c r="B4" s="59"/>
      <c r="C4" s="59"/>
      <c r="D4" s="59"/>
      <c r="E4" s="59"/>
      <c r="F4" s="60"/>
      <c r="G4" s="199"/>
    </row>
    <row r="5" spans="1:7" ht="13.5" thickBot="1">
      <c r="A5" s="265" t="s">
        <v>63</v>
      </c>
      <c r="B5" s="266"/>
      <c r="C5" s="266"/>
      <c r="D5" s="266"/>
      <c r="E5" s="266"/>
      <c r="F5" s="268"/>
      <c r="G5" s="199"/>
    </row>
    <row r="6" spans="1:7" ht="6" customHeight="1" thickBot="1">
      <c r="A6" s="61"/>
      <c r="B6" s="62"/>
      <c r="C6" s="62"/>
      <c r="D6" s="62"/>
      <c r="E6" s="62"/>
      <c r="F6" s="63"/>
      <c r="G6" s="199"/>
    </row>
    <row r="7" spans="1:7" ht="13.5" thickBot="1">
      <c r="A7" s="64" t="s">
        <v>64</v>
      </c>
      <c r="B7" s="3"/>
      <c r="C7" s="3"/>
      <c r="D7" s="3"/>
      <c r="E7" s="3"/>
      <c r="F7" s="65"/>
      <c r="G7" s="199"/>
    </row>
    <row r="8" spans="1:7" ht="15.75" thickBot="1">
      <c r="A8" s="66" t="s">
        <v>22</v>
      </c>
      <c r="B8" s="67"/>
      <c r="C8" s="67"/>
      <c r="D8" s="67"/>
      <c r="E8" s="68" t="s">
        <v>65</v>
      </c>
      <c r="F8" s="69"/>
      <c r="G8" s="199"/>
    </row>
    <row r="9" spans="1:7" ht="12.75">
      <c r="A9" s="372" t="s">
        <v>66</v>
      </c>
      <c r="B9" s="373"/>
      <c r="C9" s="373"/>
      <c r="D9" s="374" t="s">
        <v>22</v>
      </c>
      <c r="E9" s="375">
        <f>'Planilha Inicial'!C26</f>
        <v>650</v>
      </c>
      <c r="F9" s="69"/>
      <c r="G9" s="199"/>
    </row>
    <row r="10" spans="1:7" ht="12.75">
      <c r="A10" s="376" t="s">
        <v>95</v>
      </c>
      <c r="B10" s="377"/>
      <c r="C10" s="377"/>
      <c r="D10" s="374"/>
      <c r="E10" s="375">
        <f>E9*30%</f>
        <v>195</v>
      </c>
      <c r="F10" s="69"/>
      <c r="G10" s="199"/>
    </row>
    <row r="11" spans="1:7" ht="12.75">
      <c r="A11" s="378" t="s">
        <v>125</v>
      </c>
      <c r="B11" s="379"/>
      <c r="C11" s="379"/>
      <c r="D11" s="379"/>
      <c r="E11" s="375">
        <f>(E9+E10)/220*1.5*43.3</f>
        <v>249.46704545454546</v>
      </c>
      <c r="F11" s="69"/>
      <c r="G11" s="199"/>
    </row>
    <row r="12" spans="1:7" ht="12.75">
      <c r="A12" s="378" t="s">
        <v>124</v>
      </c>
      <c r="B12" s="379"/>
      <c r="C12" s="379"/>
      <c r="D12" s="379"/>
      <c r="E12" s="375">
        <f>(E9+E10)/220*2*8</f>
        <v>61.45454545454545</v>
      </c>
      <c r="F12" s="69"/>
      <c r="G12" s="199"/>
    </row>
    <row r="13" spans="1:7" ht="13.5" thickBot="1">
      <c r="A13" s="378" t="s">
        <v>126</v>
      </c>
      <c r="B13" s="379"/>
      <c r="C13" s="379"/>
      <c r="D13" s="379"/>
      <c r="E13" s="375">
        <f>(E11+E12)/6</f>
        <v>51.82026515151515</v>
      </c>
      <c r="F13" s="69"/>
      <c r="G13" s="199"/>
    </row>
    <row r="14" spans="1:7" ht="18.75" customHeight="1" thickBot="1">
      <c r="A14" s="369" t="s">
        <v>67</v>
      </c>
      <c r="B14" s="370"/>
      <c r="C14" s="370"/>
      <c r="D14" s="370"/>
      <c r="E14" s="371">
        <f>SUM(E9:E13)</f>
        <v>1207.741856060606</v>
      </c>
      <c r="F14" s="69"/>
      <c r="G14" s="199"/>
    </row>
    <row r="15" spans="1:7" ht="6" customHeight="1" thickBot="1">
      <c r="A15" s="58"/>
      <c r="B15" s="59"/>
      <c r="C15" s="59"/>
      <c r="D15" s="59"/>
      <c r="E15" s="59"/>
      <c r="F15" s="72"/>
      <c r="G15" s="199"/>
    </row>
    <row r="16" spans="1:7" ht="6" customHeight="1" thickBot="1">
      <c r="A16" s="73"/>
      <c r="B16" s="62"/>
      <c r="C16" s="62"/>
      <c r="D16" s="62"/>
      <c r="E16" s="62"/>
      <c r="F16" s="74"/>
      <c r="G16" s="199"/>
    </row>
    <row r="17" spans="1:7" ht="13.5" thickBot="1">
      <c r="A17" s="265" t="s">
        <v>109</v>
      </c>
      <c r="B17" s="266"/>
      <c r="C17" s="268"/>
      <c r="D17" s="46" t="s">
        <v>68</v>
      </c>
      <c r="E17" s="75" t="s">
        <v>68</v>
      </c>
      <c r="F17" s="47" t="s">
        <v>68</v>
      </c>
      <c r="G17" s="383"/>
    </row>
    <row r="18" spans="1:7" ht="13.5" thickBot="1">
      <c r="A18" s="291"/>
      <c r="B18" s="292"/>
      <c r="C18" s="293"/>
      <c r="D18" s="76" t="s">
        <v>69</v>
      </c>
      <c r="E18" s="77" t="s">
        <v>70</v>
      </c>
      <c r="F18" s="78" t="s">
        <v>71</v>
      </c>
      <c r="G18" s="383"/>
    </row>
    <row r="19" spans="1:7" s="159" customFormat="1" ht="13.5" thickBot="1">
      <c r="A19" s="297" t="s">
        <v>96</v>
      </c>
      <c r="B19" s="298"/>
      <c r="C19" s="298"/>
      <c r="D19" s="184">
        <f>E14</f>
        <v>1207.741856060606</v>
      </c>
      <c r="E19" s="184">
        <v>650</v>
      </c>
      <c r="F19" s="240">
        <f aca="true" t="shared" si="0" ref="F19:F24">D19-E19</f>
        <v>557.7418560606061</v>
      </c>
      <c r="G19" s="384"/>
    </row>
    <row r="20" spans="1:7" s="159" customFormat="1" ht="13.5" thickBot="1">
      <c r="A20" s="79" t="s">
        <v>97</v>
      </c>
      <c r="B20" s="160"/>
      <c r="C20" s="160"/>
      <c r="D20" s="242">
        <f>E14/12*6</f>
        <v>603.870928030303</v>
      </c>
      <c r="E20" s="243">
        <f>E19/12*6</f>
        <v>325</v>
      </c>
      <c r="F20" s="244">
        <f t="shared" si="0"/>
        <v>278.87092803030305</v>
      </c>
      <c r="G20" s="384"/>
    </row>
    <row r="21" spans="1:7" ht="13.5" thickBot="1">
      <c r="A21" s="79" t="s">
        <v>98</v>
      </c>
      <c r="B21" s="80"/>
      <c r="C21" s="80"/>
      <c r="D21" s="81">
        <f>E14/12*1</f>
        <v>100.64515467171718</v>
      </c>
      <c r="E21" s="82">
        <f>E19/12*1</f>
        <v>54.166666666666664</v>
      </c>
      <c r="F21" s="241">
        <f t="shared" si="0"/>
        <v>46.478488005050515</v>
      </c>
      <c r="G21" s="383"/>
    </row>
    <row r="22" spans="1:7" ht="12.75">
      <c r="A22" s="282" t="s">
        <v>100</v>
      </c>
      <c r="B22" s="283"/>
      <c r="C22" s="283"/>
      <c r="D22" s="81">
        <f>E14</f>
        <v>1207.741856060606</v>
      </c>
      <c r="E22" s="82">
        <f>E19</f>
        <v>650</v>
      </c>
      <c r="F22" s="83">
        <f t="shared" si="0"/>
        <v>557.7418560606061</v>
      </c>
      <c r="G22" s="383"/>
    </row>
    <row r="23" spans="1:7" ht="12.75">
      <c r="A23" s="282" t="s">
        <v>101</v>
      </c>
      <c r="B23" s="283"/>
      <c r="C23" s="283"/>
      <c r="D23" s="81">
        <f>E14/12*7</f>
        <v>704.5160827020203</v>
      </c>
      <c r="E23" s="82">
        <f>E19/12*7</f>
        <v>379.16666666666663</v>
      </c>
      <c r="F23" s="83">
        <f t="shared" si="0"/>
        <v>325.34941603535367</v>
      </c>
      <c r="G23" s="383"/>
    </row>
    <row r="24" spans="1:7" ht="13.5" thickBot="1">
      <c r="A24" s="79" t="s">
        <v>99</v>
      </c>
      <c r="B24" s="80"/>
      <c r="C24" s="80"/>
      <c r="D24" s="81">
        <f>(D22+D23)/3</f>
        <v>637.4193129208755</v>
      </c>
      <c r="E24" s="82">
        <f>(E22+E23)/3</f>
        <v>343.0555555555555</v>
      </c>
      <c r="F24" s="83">
        <f t="shared" si="0"/>
        <v>294.36375736532005</v>
      </c>
      <c r="G24" s="383"/>
    </row>
    <row r="25" spans="1:7" ht="12.75">
      <c r="A25" s="79" t="s">
        <v>105</v>
      </c>
      <c r="B25" s="80"/>
      <c r="C25" s="80"/>
      <c r="D25" s="299" t="s">
        <v>73</v>
      </c>
      <c r="E25" s="300"/>
      <c r="F25" s="245">
        <f>(F19+F20+F21)*0.08</f>
        <v>70.64730176767678</v>
      </c>
      <c r="G25" s="383"/>
    </row>
    <row r="26" spans="1:7" ht="13.5" thickBot="1">
      <c r="A26" s="79" t="s">
        <v>74</v>
      </c>
      <c r="B26" s="80"/>
      <c r="C26" s="80"/>
      <c r="D26" s="299" t="s">
        <v>73</v>
      </c>
      <c r="E26" s="300"/>
      <c r="F26" s="241">
        <f>F25*0.4</f>
        <v>28.258920707070715</v>
      </c>
      <c r="G26" s="383"/>
    </row>
    <row r="27" spans="1:7" ht="13.5" thickBot="1">
      <c r="A27" s="79" t="s">
        <v>75</v>
      </c>
      <c r="B27" s="80"/>
      <c r="C27" s="80"/>
      <c r="D27" s="81">
        <f>SUM(D19:D26)</f>
        <v>4461.935190446128</v>
      </c>
      <c r="E27" s="81">
        <f>SUM(E19:E26)</f>
        <v>2401.388888888889</v>
      </c>
      <c r="F27" s="83">
        <f>SUM(F19:F26)</f>
        <v>2159.4525240319867</v>
      </c>
      <c r="G27" s="385" t="s">
        <v>22</v>
      </c>
    </row>
    <row r="28" spans="1:7" ht="15.75" thickBot="1">
      <c r="A28" s="84" t="s">
        <v>76</v>
      </c>
      <c r="B28" s="85"/>
      <c r="C28" s="85"/>
      <c r="D28" s="301" t="s">
        <v>73</v>
      </c>
      <c r="E28" s="302"/>
      <c r="F28" s="252">
        <f>F20*8%</f>
        <v>22.309674242424244</v>
      </c>
      <c r="G28" s="383"/>
    </row>
    <row r="29" spans="1:7" ht="16.5" thickBot="1">
      <c r="A29" s="71" t="s">
        <v>77</v>
      </c>
      <c r="B29" s="86"/>
      <c r="C29" s="86"/>
      <c r="D29" s="251"/>
      <c r="E29" s="87" t="s">
        <v>65</v>
      </c>
      <c r="F29" s="381">
        <f>SUM(F27-F28)</f>
        <v>2137.1428497895627</v>
      </c>
      <c r="G29" s="383"/>
    </row>
    <row r="30" spans="1:7" ht="6" customHeight="1" thickBot="1">
      <c r="A30" s="61"/>
      <c r="B30" s="62"/>
      <c r="C30" s="62"/>
      <c r="D30" s="62"/>
      <c r="E30" s="62"/>
      <c r="F30" s="88"/>
      <c r="G30" s="383"/>
    </row>
    <row r="31" spans="1:7" ht="15.75" thickBot="1">
      <c r="A31" s="294" t="s">
        <v>78</v>
      </c>
      <c r="B31" s="295"/>
      <c r="C31" s="295"/>
      <c r="D31" s="295"/>
      <c r="E31" s="295"/>
      <c r="F31" s="296"/>
      <c r="G31" s="383"/>
    </row>
    <row r="32" spans="1:7" ht="13.5" customHeight="1" thickBot="1">
      <c r="A32" s="66"/>
      <c r="B32" s="67"/>
      <c r="C32" s="67"/>
      <c r="D32" s="67"/>
      <c r="E32" s="67"/>
      <c r="F32" s="89"/>
      <c r="G32" s="383"/>
    </row>
    <row r="33" spans="1:7" ht="17.25" customHeight="1">
      <c r="A33" s="64" t="s">
        <v>79</v>
      </c>
      <c r="B33" s="90"/>
      <c r="C33" s="90"/>
      <c r="D33" s="90"/>
      <c r="E33" s="91" t="s">
        <v>65</v>
      </c>
      <c r="F33" s="380">
        <f>'Planilha Inicial'!P27</f>
        <v>8766.625964522726</v>
      </c>
      <c r="G33" s="383" t="s">
        <v>22</v>
      </c>
    </row>
    <row r="34" spans="1:7" ht="18" thickBot="1">
      <c r="A34" s="64" t="s">
        <v>80</v>
      </c>
      <c r="B34" s="90"/>
      <c r="C34" s="90"/>
      <c r="D34" s="90"/>
      <c r="E34" s="87" t="s">
        <v>65</v>
      </c>
      <c r="F34" s="382">
        <f>F29</f>
        <v>2137.1428497895627</v>
      </c>
      <c r="G34" s="383"/>
    </row>
    <row r="35" spans="1:7" ht="16.5" thickBot="1">
      <c r="A35" s="92" t="s">
        <v>81</v>
      </c>
      <c r="B35" s="93"/>
      <c r="C35" s="93"/>
      <c r="D35" s="93"/>
      <c r="E35" s="87" t="s">
        <v>65</v>
      </c>
      <c r="F35" s="94">
        <f>SUM(F33:F34)</f>
        <v>10903.768814312289</v>
      </c>
      <c r="G35" s="383"/>
    </row>
    <row r="36" spans="1:7" ht="9" customHeight="1" thickBot="1">
      <c r="A36" s="95"/>
      <c r="B36" s="96"/>
      <c r="C36" s="96"/>
      <c r="D36" s="96"/>
      <c r="E36" s="96"/>
      <c r="F36" s="97"/>
      <c r="G36" s="386"/>
    </row>
  </sheetData>
  <mergeCells count="11">
    <mergeCell ref="A31:F31"/>
    <mergeCell ref="A19:C19"/>
    <mergeCell ref="A22:C22"/>
    <mergeCell ref="A23:C23"/>
    <mergeCell ref="D25:E25"/>
    <mergeCell ref="D26:E26"/>
    <mergeCell ref="D28:E28"/>
    <mergeCell ref="A5:F5"/>
    <mergeCell ref="A9:C9"/>
    <mergeCell ref="A17:C17"/>
    <mergeCell ref="A18:C18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Header>&amp;C&amp;"Arial,Negrito"&amp;12Apurações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37"/>
  <sheetViews>
    <sheetView workbookViewId="0" topLeftCell="A1">
      <selection activeCell="A1" sqref="A1:F34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3" width="12.8515625" style="0" customWidth="1"/>
    <col min="4" max="5" width="11.28125" style="0" customWidth="1"/>
    <col min="6" max="6" width="17.8515625" style="0" customWidth="1"/>
  </cols>
  <sheetData>
    <row r="1" spans="1:89" ht="12.75">
      <c r="A1" s="181" t="str">
        <f>'Planilha Inicial'!B1</f>
        <v>PROCESSO:33/96 DA  33a.VT/RJ</v>
      </c>
      <c r="B1" s="100"/>
      <c r="C1" s="100"/>
      <c r="D1" s="100"/>
      <c r="E1" s="100"/>
      <c r="F1" s="10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ht="12.75">
      <c r="A2" s="182" t="str">
        <f>'Planilha Inicial'!B2</f>
        <v>RTE: JOÃO DA SILVA</v>
      </c>
      <c r="B2" s="102"/>
      <c r="C2" s="102"/>
      <c r="D2" s="102"/>
      <c r="E2" s="102"/>
      <c r="F2" s="10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ht="13.5" thickBot="1">
      <c r="A3" s="183" t="str">
        <f>'Planilha Inicial'!B3</f>
        <v>RDA: DELTA LTDA.</v>
      </c>
      <c r="B3" s="104"/>
      <c r="C3" s="104"/>
      <c r="D3" s="104"/>
      <c r="E3" s="104"/>
      <c r="F3" s="10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6" ht="13.5" customHeight="1" thickBot="1">
      <c r="A4" s="133"/>
      <c r="B4" s="134"/>
      <c r="C4" s="134"/>
      <c r="D4" s="134"/>
      <c r="E4" s="134"/>
      <c r="F4" s="135"/>
    </row>
    <row r="5" spans="1:6" ht="13.5" thickBot="1">
      <c r="A5" s="303" t="s">
        <v>93</v>
      </c>
      <c r="B5" s="304"/>
      <c r="C5" s="304"/>
      <c r="D5" s="304"/>
      <c r="E5" s="304"/>
      <c r="F5" s="305"/>
    </row>
    <row r="6" spans="1:6" ht="13.5" customHeight="1" thickBot="1">
      <c r="A6" s="136"/>
      <c r="B6" s="137"/>
      <c r="C6" s="137"/>
      <c r="D6" s="137"/>
      <c r="E6" s="137"/>
      <c r="F6" s="138"/>
    </row>
    <row r="7" spans="1:6" ht="13.5" thickBot="1">
      <c r="A7" s="279" t="str">
        <f>'Atualização c-Inc. IR'!A7:F7</f>
        <v>Ajuizamento em 31/08/1996  =&gt; Juros de 121% =&gt; 30/09/2006</v>
      </c>
      <c r="B7" s="280"/>
      <c r="C7" s="280"/>
      <c r="D7" s="280"/>
      <c r="E7" s="280"/>
      <c r="F7" s="281"/>
    </row>
    <row r="8" spans="1:6" ht="13.5" thickBot="1">
      <c r="A8" s="139"/>
      <c r="B8" s="140"/>
      <c r="C8" s="140"/>
      <c r="D8" s="140"/>
      <c r="E8" s="140"/>
      <c r="F8" s="141"/>
    </row>
    <row r="9" spans="1:6" ht="12.75">
      <c r="A9" s="142" t="s">
        <v>30</v>
      </c>
      <c r="B9" s="143" t="s">
        <v>40</v>
      </c>
      <c r="C9" s="387" t="s">
        <v>83</v>
      </c>
      <c r="D9" s="144" t="s">
        <v>84</v>
      </c>
      <c r="E9" s="390" t="s">
        <v>85</v>
      </c>
      <c r="F9" s="145" t="s">
        <v>33</v>
      </c>
    </row>
    <row r="10" spans="1:6" ht="12.75">
      <c r="A10" s="146" t="s">
        <v>31</v>
      </c>
      <c r="B10" s="147" t="s">
        <v>45</v>
      </c>
      <c r="C10" s="388" t="s">
        <v>86</v>
      </c>
      <c r="D10" s="111" t="s">
        <v>87</v>
      </c>
      <c r="E10" s="391" t="s">
        <v>59</v>
      </c>
      <c r="F10" s="110" t="s">
        <v>88</v>
      </c>
    </row>
    <row r="11" spans="1:6" s="172" customFormat="1" ht="12.75" customHeight="1">
      <c r="A11" s="173">
        <f>'Planilha Inicial'!B8</f>
        <v>34714</v>
      </c>
      <c r="B11" s="113">
        <f>'Planilha Inicial'!N8+'Planilha Inicial'!O8</f>
        <v>41.32438121212121</v>
      </c>
      <c r="C11" s="389" t="str">
        <f>'Atualização c-Inc. IR'!C11</f>
        <v>    2,156092599</v>
      </c>
      <c r="D11" s="113">
        <f>B11*C11</f>
        <v>89.09919248970918</v>
      </c>
      <c r="E11" s="392">
        <f>D11*121%</f>
        <v>107.8100229125481</v>
      </c>
      <c r="F11" s="114">
        <f>D11+E11</f>
        <v>196.9092154022573</v>
      </c>
    </row>
    <row r="12" spans="1:6" s="172" customFormat="1" ht="12.75" customHeight="1">
      <c r="A12" s="173">
        <f>'Planilha Inicial'!B9</f>
        <v>34731</v>
      </c>
      <c r="B12" s="113">
        <f>'Planilha Inicial'!N9+'Planilha Inicial'!O9</f>
        <v>41.32438121212121</v>
      </c>
      <c r="C12" s="389" t="str">
        <f>'Atualização c-Inc. IR'!C12</f>
        <v>    2,111719047</v>
      </c>
      <c r="D12" s="113">
        <f aca="true" t="shared" si="0" ref="D12:D31">B12*C12</f>
        <v>87.2654829111253</v>
      </c>
      <c r="E12" s="392">
        <f>D12*121%</f>
        <v>105.59123432246162</v>
      </c>
      <c r="F12" s="114">
        <f aca="true" t="shared" si="1" ref="F12:F31">D12+E12</f>
        <v>192.85671723358692</v>
      </c>
    </row>
    <row r="13" spans="1:6" s="172" customFormat="1" ht="12.75" customHeight="1">
      <c r="A13" s="173">
        <f>'Planilha Inicial'!B10</f>
        <v>34759</v>
      </c>
      <c r="B13" s="113">
        <f>'Planilha Inicial'!N10+'Planilha Inicial'!O10</f>
        <v>41.32438121212121</v>
      </c>
      <c r="C13" s="389" t="str">
        <f>'Atualização c-Inc. IR'!C13</f>
        <v>    2,073298748</v>
      </c>
      <c r="D13" s="113">
        <f t="shared" si="0"/>
        <v>85.67778782896563</v>
      </c>
      <c r="E13" s="392">
        <f aca="true" t="shared" si="2" ref="E13:E31">D13*121%</f>
        <v>103.67012327304842</v>
      </c>
      <c r="F13" s="114">
        <f t="shared" si="1"/>
        <v>189.34791110201405</v>
      </c>
    </row>
    <row r="14" spans="1:6" s="172" customFormat="1" ht="12.75" customHeight="1">
      <c r="A14" s="173">
        <f>'Planilha Inicial'!B11</f>
        <v>34790</v>
      </c>
      <c r="B14" s="113">
        <f>'Planilha Inicial'!N11+'Planilha Inicial'!O11</f>
        <v>41.32438121212121</v>
      </c>
      <c r="C14" s="389" t="str">
        <f>'Atualização c-Inc. IR'!C14</f>
        <v>    2,026688955</v>
      </c>
      <c r="D14" s="113">
        <f t="shared" si="0"/>
        <v>83.75166697481556</v>
      </c>
      <c r="E14" s="392">
        <f t="shared" si="2"/>
        <v>101.33951703952683</v>
      </c>
      <c r="F14" s="114">
        <f t="shared" si="1"/>
        <v>185.0911840143424</v>
      </c>
    </row>
    <row r="15" spans="1:6" s="172" customFormat="1" ht="12.75" customHeight="1">
      <c r="A15" s="173">
        <f>'Planilha Inicial'!B12</f>
        <v>34820</v>
      </c>
      <c r="B15" s="113">
        <f>'Planilha Inicial'!N12+'Planilha Inicial'!O12</f>
        <v>48.05160606060606</v>
      </c>
      <c r="C15" s="389" t="str">
        <f>'Atualização c-Inc. IR'!C15</f>
        <v>    1,958783797</v>
      </c>
      <c r="D15" s="113">
        <f t="shared" si="0"/>
        <v>94.12270737134214</v>
      </c>
      <c r="E15" s="392">
        <f t="shared" si="2"/>
        <v>113.888475919324</v>
      </c>
      <c r="F15" s="114">
        <f t="shared" si="1"/>
        <v>208.01118329066614</v>
      </c>
    </row>
    <row r="16" spans="1:6" s="172" customFormat="1" ht="12.75" customHeight="1">
      <c r="A16" s="173">
        <f>'Planilha Inicial'!B13</f>
        <v>34851</v>
      </c>
      <c r="B16" s="113">
        <f>'Planilha Inicial'!N13+'Planilha Inicial'!O13</f>
        <v>48.05160606060606</v>
      </c>
      <c r="C16" s="389" t="str">
        <f>'Atualização c-Inc. IR'!C16</f>
        <v>    1,897180451</v>
      </c>
      <c r="D16" s="113">
        <f t="shared" si="0"/>
        <v>91.16256765733495</v>
      </c>
      <c r="E16" s="392">
        <f t="shared" si="2"/>
        <v>110.30670686537528</v>
      </c>
      <c r="F16" s="114">
        <f t="shared" si="1"/>
        <v>201.46927452271024</v>
      </c>
    </row>
    <row r="17" spans="1:6" s="172" customFormat="1" ht="12.75" customHeight="1">
      <c r="A17" s="173">
        <f>'Planilha Inicial'!B14</f>
        <v>34881</v>
      </c>
      <c r="B17" s="113">
        <f>'Planilha Inicial'!N14+'Planilha Inicial'!O14</f>
        <v>48.05160606060606</v>
      </c>
      <c r="C17" s="389" t="str">
        <f>'Atualização c-Inc. IR'!C17</f>
        <v>    1,843958283</v>
      </c>
      <c r="D17" s="113">
        <f t="shared" si="0"/>
        <v>88.60515700690755</v>
      </c>
      <c r="E17" s="392">
        <f t="shared" si="2"/>
        <v>107.21223997835813</v>
      </c>
      <c r="F17" s="114">
        <f t="shared" si="1"/>
        <v>195.81739698526567</v>
      </c>
    </row>
    <row r="18" spans="1:6" s="172" customFormat="1" ht="12.75" customHeight="1">
      <c r="A18" s="173">
        <f>'Planilha Inicial'!B15</f>
        <v>34912</v>
      </c>
      <c r="B18" s="113">
        <f>'Planilha Inicial'!N15+'Planilha Inicial'!O15</f>
        <v>48.05160606060606</v>
      </c>
      <c r="C18" s="389" t="str">
        <f>'Atualização c-Inc. IR'!C18</f>
        <v>    1,790415896</v>
      </c>
      <c r="D18" s="113">
        <f t="shared" si="0"/>
        <v>86.03235931923903</v>
      </c>
      <c r="E18" s="392">
        <f t="shared" si="2"/>
        <v>104.09915477627924</v>
      </c>
      <c r="F18" s="114">
        <f t="shared" si="1"/>
        <v>190.13151409551827</v>
      </c>
    </row>
    <row r="19" spans="1:6" s="172" customFormat="1" ht="12.75" customHeight="1">
      <c r="A19" s="173">
        <f>'Planilha Inicial'!B16</f>
        <v>34943</v>
      </c>
      <c r="B19" s="113">
        <f>'Planilha Inicial'!N16+'Planilha Inicial'!O16</f>
        <v>48.05160606060606</v>
      </c>
      <c r="C19" s="389" t="str">
        <f>'Atualização c-Inc. IR'!C19</f>
        <v>    1,744968199</v>
      </c>
      <c r="D19" s="113">
        <f t="shared" si="0"/>
        <v>83.84852448663325</v>
      </c>
      <c r="E19" s="392">
        <f t="shared" si="2"/>
        <v>101.45671462882623</v>
      </c>
      <c r="F19" s="114">
        <f t="shared" si="1"/>
        <v>185.30523911545947</v>
      </c>
    </row>
    <row r="20" spans="1:6" s="172" customFormat="1" ht="12.75" customHeight="1">
      <c r="A20" s="173">
        <f>'Planilha Inicial'!B17</f>
        <v>34973</v>
      </c>
      <c r="B20" s="113">
        <f>'Planilha Inicial'!N17+'Planilha Inicial'!O17</f>
        <v>48.05160606060606</v>
      </c>
      <c r="C20" s="389" t="str">
        <f>'Atualização c-Inc. IR'!C20</f>
        <v>    1,711771808</v>
      </c>
      <c r="D20" s="113">
        <f t="shared" si="0"/>
        <v>82.2533845836674</v>
      </c>
      <c r="E20" s="392">
        <f t="shared" si="2"/>
        <v>99.52659534623754</v>
      </c>
      <c r="F20" s="114">
        <f t="shared" si="1"/>
        <v>181.77997992990493</v>
      </c>
    </row>
    <row r="21" spans="1:6" s="172" customFormat="1" ht="12.75" customHeight="1">
      <c r="A21" s="173">
        <f>'Planilha Inicial'!B18</f>
        <v>35004</v>
      </c>
      <c r="B21" s="113">
        <f>'Planilha Inicial'!N18+'Planilha Inicial'!O18</f>
        <v>48.05160606060606</v>
      </c>
      <c r="C21" s="389" t="str">
        <f>'Atualização c-Inc. IR'!C21</f>
        <v>    1,683919775</v>
      </c>
      <c r="D21" s="113">
        <f t="shared" si="0"/>
        <v>80.91504966596439</v>
      </c>
      <c r="E21" s="392">
        <f t="shared" si="2"/>
        <v>97.90721009581691</v>
      </c>
      <c r="F21" s="114">
        <f t="shared" si="1"/>
        <v>178.8222597617813</v>
      </c>
    </row>
    <row r="22" spans="1:6" s="172" customFormat="1" ht="12.75" customHeight="1">
      <c r="A22" s="173">
        <f>'Planilha Inicial'!B19</f>
        <v>35034</v>
      </c>
      <c r="B22" s="113">
        <f>'Planilha Inicial'!N19+'Planilha Inicial'!O19</f>
        <v>48.05160606060606</v>
      </c>
      <c r="C22" s="389" t="str">
        <f>'Atualização c-Inc. IR'!C22</f>
        <v>    1,660036825</v>
      </c>
      <c r="D22" s="113">
        <f>B22*C22</f>
        <v>79.76743556099925</v>
      </c>
      <c r="E22" s="392">
        <f t="shared" si="2"/>
        <v>96.51859702880908</v>
      </c>
      <c r="F22" s="114">
        <f t="shared" si="1"/>
        <v>176.28603258980831</v>
      </c>
    </row>
    <row r="23" spans="1:6" s="172" customFormat="1" ht="12.75" customHeight="1">
      <c r="A23" s="173" t="str">
        <f>'Planilha Inicial'!B20</f>
        <v>13º/95</v>
      </c>
      <c r="B23" s="113">
        <f>'Planilha Inicial'!N20+'Planilha Inicial'!O20</f>
        <v>48.05160606060606</v>
      </c>
      <c r="C23" s="389" t="str">
        <f>'Atualização c-Inc. IR'!C23</f>
        <v>    1,660036825</v>
      </c>
      <c r="D23" s="174">
        <f t="shared" si="0"/>
        <v>79.76743556099925</v>
      </c>
      <c r="E23" s="392">
        <f t="shared" si="2"/>
        <v>96.51859702880908</v>
      </c>
      <c r="F23" s="115">
        <f t="shared" si="1"/>
        <v>176.28603258980831</v>
      </c>
    </row>
    <row r="24" spans="1:6" s="172" customFormat="1" ht="12.75" customHeight="1">
      <c r="A24" s="173">
        <f>'Planilha Inicial'!B21</f>
        <v>35065</v>
      </c>
      <c r="B24" s="113">
        <f>'Planilha Inicial'!N21+'Planilha Inicial'!O21</f>
        <v>62.46708787878787</v>
      </c>
      <c r="C24" s="389" t="str">
        <f>'Atualização c-Inc. IR'!C24</f>
        <v>    1,638086467</v>
      </c>
      <c r="D24" s="113">
        <f t="shared" si="0"/>
        <v>102.32649128714215</v>
      </c>
      <c r="E24" s="392">
        <f t="shared" si="2"/>
        <v>123.81505445744199</v>
      </c>
      <c r="F24" s="114">
        <f t="shared" si="1"/>
        <v>226.14154574458414</v>
      </c>
    </row>
    <row r="25" spans="1:6" s="172" customFormat="1" ht="12.75" customHeight="1">
      <c r="A25" s="173">
        <f>'Planilha Inicial'!B22</f>
        <v>35096</v>
      </c>
      <c r="B25" s="113">
        <f>'Planilha Inicial'!N22+'Planilha Inicial'!O22</f>
        <v>62.46708787878787</v>
      </c>
      <c r="C25" s="389" t="str">
        <f>'Atualização c-Inc. IR'!C25</f>
        <v>    1,617821633</v>
      </c>
      <c r="D25" s="113">
        <f t="shared" si="0"/>
        <v>101.0606061208151</v>
      </c>
      <c r="E25" s="392">
        <f t="shared" si="2"/>
        <v>122.28333340618626</v>
      </c>
      <c r="F25" s="114">
        <f t="shared" si="1"/>
        <v>223.34393952700134</v>
      </c>
    </row>
    <row r="26" spans="1:6" s="172" customFormat="1" ht="12.75" customHeight="1">
      <c r="A26" s="173">
        <f>'Planilha Inicial'!B23</f>
        <v>35125</v>
      </c>
      <c r="B26" s="113">
        <f>'Planilha Inicial'!N23+'Planilha Inicial'!O23</f>
        <v>62.46708787878787</v>
      </c>
      <c r="C26" s="389" t="str">
        <f>'Atualização c-Inc. IR'!C26</f>
        <v>    1,602398547</v>
      </c>
      <c r="D26" s="113">
        <f t="shared" si="0"/>
        <v>100.097170852291</v>
      </c>
      <c r="E26" s="392">
        <f t="shared" si="2"/>
        <v>121.11757673127211</v>
      </c>
      <c r="F26" s="114">
        <f t="shared" si="1"/>
        <v>221.2147475835631</v>
      </c>
    </row>
    <row r="27" spans="1:6" s="172" customFormat="1" ht="12.75" customHeight="1">
      <c r="A27" s="173">
        <f>'Planilha Inicial'!B24</f>
        <v>35156</v>
      </c>
      <c r="B27" s="113">
        <f>'Planilha Inicial'!N24+'Planilha Inicial'!O24</f>
        <v>62.46708787878787</v>
      </c>
      <c r="C27" s="389" t="str">
        <f>'Atualização c-Inc. IR'!C27</f>
        <v>    1,589461916</v>
      </c>
      <c r="D27" s="113">
        <f t="shared" si="0"/>
        <v>99.28905718675855</v>
      </c>
      <c r="E27" s="392">
        <f t="shared" si="2"/>
        <v>120.13975919597785</v>
      </c>
      <c r="F27" s="114">
        <f t="shared" si="1"/>
        <v>219.4288163827364</v>
      </c>
    </row>
    <row r="28" spans="1:6" s="172" customFormat="1" ht="12.75" customHeight="1">
      <c r="A28" s="173">
        <f>'Planilha Inicial'!B25</f>
        <v>35186</v>
      </c>
      <c r="B28" s="113">
        <f>'Planilha Inicial'!N25+'Planilha Inicial'!O25</f>
        <v>62.46708787878787</v>
      </c>
      <c r="C28" s="389" t="str">
        <f>'Atualização c-Inc. IR'!C28</f>
        <v>    1,579044957</v>
      </c>
      <c r="D28" s="113">
        <f t="shared" si="0"/>
        <v>98.63834009347582</v>
      </c>
      <c r="E28" s="392">
        <f t="shared" si="2"/>
        <v>119.35239151310574</v>
      </c>
      <c r="F28" s="114">
        <f t="shared" si="1"/>
        <v>217.99073160658156</v>
      </c>
    </row>
    <row r="29" spans="1:6" s="172" customFormat="1" ht="12.75" customHeight="1">
      <c r="A29" s="173">
        <f>'Planilha Inicial'!B26</f>
        <v>35217</v>
      </c>
      <c r="B29" s="113">
        <f>'Planilha Inicial'!N26+'Planilha Inicial'!O26</f>
        <v>62.46708787878787</v>
      </c>
      <c r="C29" s="389" t="str">
        <f>'Atualização c-Inc. IR'!C29</f>
        <v>    1,569801963</v>
      </c>
      <c r="D29" s="113">
        <f t="shared" si="0"/>
        <v>98.0609571750147</v>
      </c>
      <c r="E29" s="392">
        <f t="shared" si="2"/>
        <v>118.6537581817678</v>
      </c>
      <c r="F29" s="114">
        <f t="shared" si="1"/>
        <v>216.7147153567825</v>
      </c>
    </row>
    <row r="30" spans="1:6" s="172" customFormat="1" ht="12.75" customHeight="1">
      <c r="A30" s="394" t="s">
        <v>103</v>
      </c>
      <c r="B30" s="113">
        <f>Àpurações!F19</f>
        <v>557.7418560606061</v>
      </c>
      <c r="C30" s="389" t="str">
        <f>'Atualização c-Inc. IR'!C30</f>
        <v>    1,569801963</v>
      </c>
      <c r="D30" s="113">
        <f t="shared" si="0"/>
        <v>875.5442604912029</v>
      </c>
      <c r="E30" s="392">
        <f t="shared" si="2"/>
        <v>1059.4085551943554</v>
      </c>
      <c r="F30" s="114">
        <f t="shared" si="1"/>
        <v>1934.952815685558</v>
      </c>
    </row>
    <row r="31" spans="1:6" s="1" customFormat="1" ht="12.75">
      <c r="A31" s="395" t="s">
        <v>104</v>
      </c>
      <c r="B31" s="113">
        <f>Àpurações!F25+Àpurações!F26</f>
        <v>98.9062224747475</v>
      </c>
      <c r="C31" s="389" t="str">
        <f>'Atualização c-Inc. IR'!C32</f>
        <v>    1,569801963</v>
      </c>
      <c r="D31" s="175">
        <f t="shared" si="0"/>
        <v>155.26318219377333</v>
      </c>
      <c r="E31" s="392">
        <f t="shared" si="2"/>
        <v>187.86845045446572</v>
      </c>
      <c r="F31" s="176">
        <f t="shared" si="1"/>
        <v>343.131632648239</v>
      </c>
    </row>
    <row r="32" spans="1:6" s="1" customFormat="1" ht="12.75">
      <c r="A32" s="148" t="s">
        <v>94</v>
      </c>
      <c r="B32" s="149">
        <f>SUM(B11:B31)</f>
        <v>1629.2125852020201</v>
      </c>
      <c r="C32" s="150"/>
      <c r="D32" s="151">
        <f>SUM(D11:D31)</f>
        <v>2742.548816818176</v>
      </c>
      <c r="E32" s="393">
        <f>SUM(E11:E31)</f>
        <v>3318.4840683499933</v>
      </c>
      <c r="F32" s="152">
        <f>SUM(F11:F31)</f>
        <v>6061.03288516817</v>
      </c>
    </row>
    <row r="33" spans="1:6" s="1" customFormat="1" ht="13.5" thickBot="1">
      <c r="A33" s="99" t="s">
        <v>90</v>
      </c>
      <c r="B33" s="177"/>
      <c r="C33" s="178"/>
      <c r="D33" s="178"/>
      <c r="E33" s="179"/>
      <c r="F33" s="153" t="s">
        <v>122</v>
      </c>
    </row>
    <row r="34" spans="1:6" s="1" customFormat="1" ht="13.5" thickBot="1">
      <c r="A34" s="154" t="s">
        <v>91</v>
      </c>
      <c r="B34" s="155"/>
      <c r="C34" s="189" t="s">
        <v>106</v>
      </c>
      <c r="D34" s="156">
        <f>'Atualização c-Inc. IR'!D38</f>
        <v>0.01157612</v>
      </c>
      <c r="E34" s="157"/>
      <c r="F34" s="158">
        <f>F32/D34</f>
        <v>523580.68896730244</v>
      </c>
    </row>
    <row r="35" s="172" customFormat="1" ht="11.25"/>
    <row r="36" s="172" customFormat="1" ht="11.25"/>
    <row r="37" s="172" customFormat="1" ht="11.25">
      <c r="B37" s="172">
        <f>70.65+28.26</f>
        <v>98.91000000000001</v>
      </c>
    </row>
    <row r="38" s="172" customFormat="1" ht="11.25"/>
    <row r="39" s="172" customFormat="1" ht="11.25"/>
    <row r="40" s="172" customFormat="1" ht="11.25"/>
    <row r="41" s="172" customFormat="1" ht="11.25"/>
    <row r="42" s="172" customFormat="1" ht="11.25"/>
    <row r="43" s="172" customFormat="1" ht="11.25"/>
    <row r="44" s="172" customFormat="1" ht="11.25"/>
    <row r="45" s="172" customFormat="1" ht="11.25"/>
    <row r="46" s="172" customFormat="1" ht="11.25"/>
    <row r="47" s="172" customFormat="1" ht="11.25"/>
    <row r="48" s="172" customFormat="1" ht="11.25"/>
    <row r="49" s="172" customFormat="1" ht="11.25"/>
    <row r="50" s="172" customFormat="1" ht="11.25"/>
    <row r="51" s="172" customFormat="1" ht="11.25"/>
    <row r="52" s="172" customFormat="1" ht="11.25"/>
    <row r="53" s="172" customFormat="1" ht="11.25"/>
    <row r="54" s="172" customFormat="1" ht="11.25"/>
    <row r="55" s="172" customFormat="1" ht="11.25"/>
    <row r="56" s="172" customFormat="1" ht="11.25"/>
    <row r="57" s="172" customFormat="1" ht="11.25"/>
    <row r="58" s="172" customFormat="1" ht="11.25"/>
    <row r="59" s="172" customFormat="1" ht="11.25"/>
    <row r="60" s="172" customFormat="1" ht="11.25"/>
    <row r="61" s="172" customFormat="1" ht="11.25"/>
    <row r="62" s="172" customFormat="1" ht="11.25"/>
    <row r="63" s="172" customFormat="1" ht="11.25"/>
    <row r="64" s="172" customFormat="1" ht="11.25"/>
    <row r="65" s="172" customFormat="1" ht="11.25"/>
    <row r="66" s="172" customFormat="1" ht="11.25"/>
    <row r="67" s="172" customFormat="1" ht="11.25"/>
    <row r="68" s="172" customFormat="1" ht="11.25"/>
    <row r="69" s="172" customFormat="1" ht="11.25"/>
    <row r="70" s="172" customFormat="1" ht="11.25"/>
  </sheetData>
  <mergeCells count="2">
    <mergeCell ref="A5:F5"/>
    <mergeCell ref="A7:F7"/>
  </mergeCells>
  <printOptions horizontalCentered="1" verticalCentered="1"/>
  <pageMargins left="0.7874015748031497" right="0.7874015748031497" top="0.984251968503937" bottom="1.1023622047244095" header="0.5118110236220472" footer="0.5118110236220472"/>
  <pageSetup horizontalDpi="300" verticalDpi="300" orientation="portrait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GAGO</dc:creator>
  <cp:keywords/>
  <dc:description/>
  <cp:lastModifiedBy>Robson Gago</cp:lastModifiedBy>
  <cp:lastPrinted>2008-02-19T15:03:37Z</cp:lastPrinted>
  <dcterms:created xsi:type="dcterms:W3CDTF">2000-09-19T19:27:30Z</dcterms:created>
  <dcterms:modified xsi:type="dcterms:W3CDTF">2008-02-19T15:07:38Z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